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y\Desktop\Test\"/>
    </mc:Choice>
  </mc:AlternateContent>
  <xr:revisionPtr revIDLastSave="0" documentId="13_ncr:1_{2576D653-BC67-48EA-88A6-F3F6ED46C8C1}" xr6:coauthVersionLast="47" xr6:coauthVersionMax="47" xr10:uidLastSave="{00000000-0000-0000-0000-000000000000}"/>
  <bookViews>
    <workbookView xWindow="3525" yWindow="2250" windowWidth="21600" windowHeight="12750" xr2:uid="{66762CF7-2022-498D-AAEE-F423990B9136}"/>
  </bookViews>
  <sheets>
    <sheet name="Actuals Phase I" sheetId="19" r:id="rId1"/>
    <sheet name="Actuals Phase II" sheetId="20" r:id="rId2"/>
    <sheet name="DCA 8 month Phase I" sheetId="17" r:id="rId3"/>
    <sheet name="DCA 8 month Phase II" sheetId="18" r:id="rId4"/>
    <sheet name="DCA 3 month Phase I" sheetId="15" r:id="rId5"/>
    <sheet name="DCA 3 month Phase II" sheetId="16" r:id="rId6"/>
    <sheet name="ABDA 8 month Phase I" sheetId="13" r:id="rId7"/>
    <sheet name="ABDA 8 month Phase II" sheetId="14" r:id="rId8"/>
    <sheet name="ABDA 3 month Phase I" sheetId="5" r:id="rId9"/>
    <sheet name="ABDA 3 month Phase II" sheetId="8" r:id="rId10"/>
  </sheets>
  <externalReferences>
    <externalReference r:id="rId11"/>
  </externalReferences>
  <definedNames>
    <definedName name="__">'[1]7 - Overhead Costs'!$E$6</definedName>
    <definedName name="hrspercon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Z32" i="20" l="1"/>
  <c r="HA32" i="20" s="1"/>
  <c r="HB32" i="20" s="1"/>
  <c r="HC32" i="20" s="1"/>
  <c r="HD32" i="20" s="1"/>
  <c r="GK31" i="20"/>
  <c r="GL31" i="20" s="1"/>
  <c r="GM31" i="20" s="1"/>
  <c r="GN31" i="20" s="1"/>
  <c r="GO31" i="20" s="1"/>
  <c r="GP31" i="20" s="1"/>
  <c r="GQ31" i="20" s="1"/>
  <c r="GR31" i="20" s="1"/>
  <c r="GA31" i="20"/>
  <c r="GB31" i="20" s="1"/>
  <c r="GC31" i="20" s="1"/>
  <c r="FV31" i="20"/>
  <c r="FW31" i="20" s="1"/>
  <c r="FX31" i="20" s="1"/>
  <c r="FY31" i="20" s="1"/>
  <c r="AT31" i="20"/>
  <c r="AU31" i="20" s="1"/>
  <c r="AV31" i="20" s="1"/>
  <c r="AW31" i="20" s="1"/>
  <c r="AX31" i="20" s="1"/>
  <c r="AY31" i="20" s="1"/>
  <c r="BA31" i="20" s="1"/>
  <c r="HC30" i="20"/>
  <c r="Z30" i="20"/>
  <c r="FM31" i="20" s="1"/>
  <c r="FN31" i="20" s="1"/>
  <c r="HD28" i="20"/>
  <c r="FL28" i="20"/>
  <c r="AT28" i="20"/>
  <c r="M28" i="20"/>
  <c r="JV27" i="20"/>
  <c r="JJ27" i="20"/>
  <c r="IT27" i="20"/>
  <c r="IW27" i="20" s="1"/>
  <c r="HT27" i="20"/>
  <c r="HA27" i="20"/>
  <c r="HB27" i="20" s="1"/>
  <c r="GR27" i="20"/>
  <c r="GH27" i="20"/>
  <c r="FJ27" i="20"/>
  <c r="EO27" i="20"/>
  <c r="DX27" i="20"/>
  <c r="DI27" i="20"/>
  <c r="CJ27" i="20"/>
  <c r="BM27" i="20"/>
  <c r="AU27" i="20"/>
  <c r="AR27" i="20"/>
  <c r="AT27" i="20" s="1"/>
  <c r="W27" i="20"/>
  <c r="P27" i="20"/>
  <c r="N27" i="20"/>
  <c r="JW26" i="20"/>
  <c r="JJ26" i="20"/>
  <c r="IT26" i="20"/>
  <c r="HT26" i="20"/>
  <c r="HA26" i="20"/>
  <c r="GR26" i="20"/>
  <c r="GH26" i="20"/>
  <c r="FJ26" i="20"/>
  <c r="EO26" i="20"/>
  <c r="DX26" i="20"/>
  <c r="DI26" i="20"/>
  <c r="CJ26" i="20"/>
  <c r="BM26" i="20"/>
  <c r="AU26" i="20"/>
  <c r="AR26" i="20"/>
  <c r="AT26" i="20" s="1"/>
  <c r="W26" i="20"/>
  <c r="P26" i="20"/>
  <c r="N26" i="20"/>
  <c r="JW25" i="20"/>
  <c r="JJ25" i="20"/>
  <c r="IT25" i="20"/>
  <c r="HT25" i="20"/>
  <c r="HA25" i="20"/>
  <c r="GR25" i="20"/>
  <c r="GH25" i="20"/>
  <c r="FJ25" i="20"/>
  <c r="EO25" i="20"/>
  <c r="DX25" i="20"/>
  <c r="DI25" i="20"/>
  <c r="CJ25" i="20"/>
  <c r="BM25" i="20"/>
  <c r="AU25" i="20"/>
  <c r="AT25" i="20"/>
  <c r="AR25" i="20"/>
  <c r="W25" i="20"/>
  <c r="P25" i="20"/>
  <c r="N25" i="20"/>
  <c r="JW24" i="20"/>
  <c r="JJ24" i="20"/>
  <c r="IT24" i="20"/>
  <c r="IW24" i="20" s="1"/>
  <c r="HT24" i="20"/>
  <c r="HA24" i="20"/>
  <c r="HB24" i="20" s="1"/>
  <c r="GR24" i="20"/>
  <c r="GH24" i="20"/>
  <c r="FJ24" i="20"/>
  <c r="EO24" i="20"/>
  <c r="DX24" i="20"/>
  <c r="DI24" i="20"/>
  <c r="CJ24" i="20"/>
  <c r="BM24" i="20"/>
  <c r="AU24" i="20"/>
  <c r="AT24" i="20"/>
  <c r="AV24" i="20" s="1"/>
  <c r="AR24" i="20"/>
  <c r="W24" i="20"/>
  <c r="P24" i="20"/>
  <c r="N24" i="20"/>
  <c r="CL24" i="20" s="1"/>
  <c r="JW23" i="20"/>
  <c r="JJ23" i="20"/>
  <c r="IT23" i="20"/>
  <c r="IW23" i="20" s="1"/>
  <c r="HT23" i="20"/>
  <c r="HA23" i="20"/>
  <c r="HB23" i="20" s="1"/>
  <c r="GR23" i="20"/>
  <c r="GH23" i="20"/>
  <c r="FJ23" i="20"/>
  <c r="EO23" i="20"/>
  <c r="DX23" i="20"/>
  <c r="DI23" i="20"/>
  <c r="CJ23" i="20"/>
  <c r="BM23" i="20"/>
  <c r="BQ23" i="20" s="1"/>
  <c r="AU23" i="20"/>
  <c r="AT23" i="20"/>
  <c r="AR23" i="20"/>
  <c r="W23" i="20"/>
  <c r="P23" i="20"/>
  <c r="N23" i="20"/>
  <c r="JW22" i="20"/>
  <c r="JJ22" i="20"/>
  <c r="IT22" i="20"/>
  <c r="HT22" i="20"/>
  <c r="HA22" i="20"/>
  <c r="GR22" i="20"/>
  <c r="GH22" i="20"/>
  <c r="FJ22" i="20"/>
  <c r="EO22" i="20"/>
  <c r="DX22" i="20"/>
  <c r="DI22" i="20"/>
  <c r="CJ22" i="20"/>
  <c r="BM22" i="20"/>
  <c r="AU22" i="20"/>
  <c r="AR22" i="20"/>
  <c r="AT22" i="20" s="1"/>
  <c r="W22" i="20"/>
  <c r="P22" i="20"/>
  <c r="N22" i="20"/>
  <c r="JW21" i="20"/>
  <c r="JJ21" i="20"/>
  <c r="JW20" i="20" s="1"/>
  <c r="IT21" i="20"/>
  <c r="HT21" i="20"/>
  <c r="HA21" i="20"/>
  <c r="GR21" i="20"/>
  <c r="GH21" i="20"/>
  <c r="FJ21" i="20"/>
  <c r="EO21" i="20"/>
  <c r="DX21" i="20"/>
  <c r="DI21" i="20"/>
  <c r="CJ21" i="20"/>
  <c r="BM21" i="20"/>
  <c r="AU21" i="20"/>
  <c r="AR21" i="20"/>
  <c r="AT21" i="20" s="1"/>
  <c r="W21" i="20"/>
  <c r="P21" i="20"/>
  <c r="JJ20" i="20"/>
  <c r="IT20" i="20"/>
  <c r="HT20" i="20"/>
  <c r="HA20" i="20"/>
  <c r="GR20" i="20"/>
  <c r="GH20" i="20"/>
  <c r="FJ20" i="20"/>
  <c r="EO20" i="20"/>
  <c r="DX20" i="20"/>
  <c r="DI20" i="20"/>
  <c r="CJ20" i="20"/>
  <c r="BM20" i="20"/>
  <c r="AU20" i="20"/>
  <c r="AR20" i="20"/>
  <c r="AT20" i="20" s="1"/>
  <c r="W20" i="20"/>
  <c r="P20" i="20"/>
  <c r="N20" i="20"/>
  <c r="JW19" i="20"/>
  <c r="JJ19" i="20"/>
  <c r="IT19" i="20"/>
  <c r="HT19" i="20"/>
  <c r="HA19" i="20"/>
  <c r="GR19" i="20"/>
  <c r="GH19" i="20"/>
  <c r="FJ19" i="20"/>
  <c r="EO19" i="20"/>
  <c r="DX19" i="20"/>
  <c r="DI19" i="20"/>
  <c r="CJ19" i="20"/>
  <c r="BM19" i="20"/>
  <c r="AU19" i="20"/>
  <c r="AR19" i="20"/>
  <c r="AT19" i="20" s="1"/>
  <c r="W19" i="20"/>
  <c r="P19" i="20"/>
  <c r="N19" i="20"/>
  <c r="JW18" i="20"/>
  <c r="JJ18" i="20"/>
  <c r="IT18" i="20"/>
  <c r="HT18" i="20"/>
  <c r="HA18" i="20"/>
  <c r="GR18" i="20"/>
  <c r="GH18" i="20"/>
  <c r="FJ18" i="20"/>
  <c r="EO18" i="20"/>
  <c r="DX18" i="20"/>
  <c r="DI18" i="20"/>
  <c r="CJ18" i="20"/>
  <c r="BM18" i="20"/>
  <c r="AU18" i="20"/>
  <c r="AR18" i="20"/>
  <c r="AT18" i="20" s="1"/>
  <c r="W18" i="20"/>
  <c r="P18" i="20"/>
  <c r="N18" i="20"/>
  <c r="JW17" i="20"/>
  <c r="JJ17" i="20"/>
  <c r="IT17" i="20"/>
  <c r="IW17" i="20" s="1"/>
  <c r="HT17" i="20"/>
  <c r="HA17" i="20"/>
  <c r="GR17" i="20"/>
  <c r="GH17" i="20"/>
  <c r="FJ17" i="20"/>
  <c r="EO17" i="20"/>
  <c r="DX17" i="20"/>
  <c r="DI17" i="20"/>
  <c r="CJ17" i="20"/>
  <c r="BM17" i="20"/>
  <c r="AU17" i="20"/>
  <c r="AR17" i="20"/>
  <c r="AT17" i="20" s="1"/>
  <c r="W17" i="20"/>
  <c r="P17" i="20"/>
  <c r="N17" i="20"/>
  <c r="JW16" i="20"/>
  <c r="JJ16" i="20"/>
  <c r="IT16" i="20"/>
  <c r="HT16" i="20"/>
  <c r="HA16" i="20"/>
  <c r="GR16" i="20"/>
  <c r="GH16" i="20"/>
  <c r="FJ16" i="20"/>
  <c r="EO16" i="20"/>
  <c r="DX16" i="20"/>
  <c r="DI16" i="20"/>
  <c r="CJ16" i="20"/>
  <c r="BM16" i="20"/>
  <c r="AU16" i="20"/>
  <c r="AR16" i="20"/>
  <c r="AT16" i="20" s="1"/>
  <c r="W16" i="20"/>
  <c r="P16" i="20"/>
  <c r="N16" i="20"/>
  <c r="JW15" i="20"/>
  <c r="JJ15" i="20"/>
  <c r="IT15" i="20"/>
  <c r="IW15" i="20" s="1"/>
  <c r="HT15" i="20"/>
  <c r="HA15" i="20"/>
  <c r="GR15" i="20"/>
  <c r="GH15" i="20"/>
  <c r="FJ15" i="20"/>
  <c r="EO15" i="20"/>
  <c r="DX15" i="20"/>
  <c r="DI15" i="20"/>
  <c r="CJ15" i="20"/>
  <c r="BM15" i="20"/>
  <c r="BQ15" i="20" s="1"/>
  <c r="AU15" i="20"/>
  <c r="AR15" i="20"/>
  <c r="AT15" i="20" s="1"/>
  <c r="AV15" i="20" s="1"/>
  <c r="W15" i="20"/>
  <c r="P15" i="20"/>
  <c r="N15" i="20"/>
  <c r="JW14" i="20"/>
  <c r="JJ14" i="20"/>
  <c r="IT14" i="20"/>
  <c r="HT14" i="20"/>
  <c r="HA14" i="20"/>
  <c r="GR14" i="20"/>
  <c r="GH14" i="20"/>
  <c r="FJ14" i="20"/>
  <c r="EO14" i="20"/>
  <c r="DX14" i="20"/>
  <c r="DI14" i="20"/>
  <c r="CJ14" i="20"/>
  <c r="BM14" i="20"/>
  <c r="AU14" i="20"/>
  <c r="AR14" i="20"/>
  <c r="AT14" i="20" s="1"/>
  <c r="W14" i="20"/>
  <c r="P14" i="20"/>
  <c r="N14" i="20"/>
  <c r="JW13" i="20"/>
  <c r="JJ13" i="20"/>
  <c r="JW12" i="20" s="1"/>
  <c r="IT13" i="20"/>
  <c r="HT13" i="20"/>
  <c r="HA13" i="20"/>
  <c r="GR13" i="20"/>
  <c r="GH13" i="20"/>
  <c r="FJ13" i="20"/>
  <c r="EO13" i="20"/>
  <c r="DX13" i="20"/>
  <c r="DI13" i="20"/>
  <c r="CJ13" i="20"/>
  <c r="BM13" i="20"/>
  <c r="AU13" i="20"/>
  <c r="AR13" i="20"/>
  <c r="AT13" i="20" s="1"/>
  <c r="W13" i="20"/>
  <c r="P13" i="20"/>
  <c r="JJ12" i="20"/>
  <c r="IT12" i="20"/>
  <c r="HT12" i="20"/>
  <c r="HA12" i="20"/>
  <c r="GR12" i="20"/>
  <c r="GH12" i="20"/>
  <c r="FJ12" i="20"/>
  <c r="EO12" i="20"/>
  <c r="DX12" i="20"/>
  <c r="DI12" i="20"/>
  <c r="CJ12" i="20"/>
  <c r="BM12" i="20"/>
  <c r="AU12" i="20"/>
  <c r="AR12" i="20"/>
  <c r="AT12" i="20" s="1"/>
  <c r="W12" i="20"/>
  <c r="P12" i="20"/>
  <c r="N12" i="20"/>
  <c r="JW11" i="20"/>
  <c r="JJ11" i="20"/>
  <c r="IT11" i="20"/>
  <c r="HT11" i="20"/>
  <c r="HA11" i="20"/>
  <c r="GR11" i="20"/>
  <c r="GH11" i="20"/>
  <c r="FJ11" i="20"/>
  <c r="EO11" i="20"/>
  <c r="DX11" i="20"/>
  <c r="DI11" i="20"/>
  <c r="CJ11" i="20"/>
  <c r="BM11" i="20"/>
  <c r="AU11" i="20"/>
  <c r="AR11" i="20"/>
  <c r="AT11" i="20" s="1"/>
  <c r="W11" i="20"/>
  <c r="P11" i="20"/>
  <c r="N11" i="20"/>
  <c r="JW10" i="20"/>
  <c r="JJ10" i="20"/>
  <c r="IT10" i="20"/>
  <c r="HT10" i="20"/>
  <c r="HA10" i="20"/>
  <c r="GR10" i="20"/>
  <c r="GH10" i="20"/>
  <c r="FJ10" i="20"/>
  <c r="EO10" i="20"/>
  <c r="DX10" i="20"/>
  <c r="DI10" i="20"/>
  <c r="CJ10" i="20"/>
  <c r="BM10" i="20"/>
  <c r="AU10" i="20"/>
  <c r="AR10" i="20"/>
  <c r="AT10" i="20" s="1"/>
  <c r="W10" i="20"/>
  <c r="P10" i="20"/>
  <c r="N10" i="20"/>
  <c r="JW9" i="20"/>
  <c r="JJ9" i="20"/>
  <c r="IT9" i="20"/>
  <c r="HT9" i="20"/>
  <c r="HA9" i="20"/>
  <c r="GR9" i="20"/>
  <c r="GH9" i="20"/>
  <c r="FJ9" i="20"/>
  <c r="EO9" i="20"/>
  <c r="DX9" i="20"/>
  <c r="DI9" i="20"/>
  <c r="CJ9" i="20"/>
  <c r="BZ9" i="20"/>
  <c r="BM9" i="20"/>
  <c r="AU9" i="20"/>
  <c r="AR9" i="20"/>
  <c r="AT9" i="20" s="1"/>
  <c r="W9" i="20"/>
  <c r="P9" i="20"/>
  <c r="N9" i="20"/>
  <c r="JW8" i="20"/>
  <c r="JK8" i="20"/>
  <c r="JJ8" i="20"/>
  <c r="JA8" i="20"/>
  <c r="JB8" i="20" s="1"/>
  <c r="IU8" i="20"/>
  <c r="IT8" i="20"/>
  <c r="IW8" i="20" s="1"/>
  <c r="HU8" i="20"/>
  <c r="HT8" i="20"/>
  <c r="IL4" i="20" s="1"/>
  <c r="HA8" i="20"/>
  <c r="HC8" i="20" s="1"/>
  <c r="GR8" i="20"/>
  <c r="GH8" i="20"/>
  <c r="FJ8" i="20"/>
  <c r="EO8" i="20"/>
  <c r="DX8" i="20"/>
  <c r="DI8" i="20"/>
  <c r="CJ8" i="20"/>
  <c r="CA8" i="20"/>
  <c r="BM8" i="20"/>
  <c r="AU8" i="20"/>
  <c r="AR8" i="20"/>
  <c r="AT8" i="20" s="1"/>
  <c r="W8" i="20"/>
  <c r="P8" i="20"/>
  <c r="N8" i="20"/>
  <c r="JW7" i="20"/>
  <c r="JU7" i="20"/>
  <c r="JJ7" i="20"/>
  <c r="IT7" i="20"/>
  <c r="HT7" i="20"/>
  <c r="HA7" i="20"/>
  <c r="GR7" i="20"/>
  <c r="GH7" i="20"/>
  <c r="FJ7" i="20"/>
  <c r="EO7" i="20"/>
  <c r="EH7" i="20"/>
  <c r="DX7" i="20"/>
  <c r="DI7" i="20"/>
  <c r="CJ7" i="20"/>
  <c r="CA7" i="20"/>
  <c r="BM7" i="20"/>
  <c r="AU7" i="20"/>
  <c r="AR7" i="20"/>
  <c r="AT7" i="20" s="1"/>
  <c r="W7" i="20"/>
  <c r="P7" i="20"/>
  <c r="N7" i="20"/>
  <c r="JW6" i="20"/>
  <c r="JJ6" i="20"/>
  <c r="IT6" i="20"/>
  <c r="HT6" i="20"/>
  <c r="HA6" i="20"/>
  <c r="GR6" i="20"/>
  <c r="GH6" i="20"/>
  <c r="GG6" i="20"/>
  <c r="GG7" i="20" s="1"/>
  <c r="GG8" i="20" s="1"/>
  <c r="GG9" i="20" s="1"/>
  <c r="GG10" i="20" s="1"/>
  <c r="GG11" i="20" s="1"/>
  <c r="GG12" i="20" s="1"/>
  <c r="GG13" i="20" s="1"/>
  <c r="GG14" i="20" s="1"/>
  <c r="GG15" i="20" s="1"/>
  <c r="GG16" i="20" s="1"/>
  <c r="GG17" i="20" s="1"/>
  <c r="GG18" i="20" s="1"/>
  <c r="GG19" i="20" s="1"/>
  <c r="GG20" i="20" s="1"/>
  <c r="GG21" i="20" s="1"/>
  <c r="GG22" i="20" s="1"/>
  <c r="GG23" i="20" s="1"/>
  <c r="GG24" i="20" s="1"/>
  <c r="GG25" i="20" s="1"/>
  <c r="GG26" i="20" s="1"/>
  <c r="GG27" i="20" s="1"/>
  <c r="FR6" i="20"/>
  <c r="FR7" i="20" s="1"/>
  <c r="FR8" i="20" s="1"/>
  <c r="FR9" i="20" s="1"/>
  <c r="FR10" i="20" s="1"/>
  <c r="FR11" i="20" s="1"/>
  <c r="FR12" i="20" s="1"/>
  <c r="FR13" i="20" s="1"/>
  <c r="FR14" i="20" s="1"/>
  <c r="FR15" i="20" s="1"/>
  <c r="FR16" i="20" s="1"/>
  <c r="FR17" i="20" s="1"/>
  <c r="FR18" i="20" s="1"/>
  <c r="FR19" i="20" s="1"/>
  <c r="FR20" i="20" s="1"/>
  <c r="FR21" i="20" s="1"/>
  <c r="FR22" i="20" s="1"/>
  <c r="FR23" i="20" s="1"/>
  <c r="FR24" i="20" s="1"/>
  <c r="FR25" i="20" s="1"/>
  <c r="FR26" i="20" s="1"/>
  <c r="FR27" i="20" s="1"/>
  <c r="FR28" i="20" s="1"/>
  <c r="FJ6" i="20"/>
  <c r="FI6" i="20"/>
  <c r="FI7" i="20" s="1"/>
  <c r="FI8" i="20" s="1"/>
  <c r="FI9" i="20" s="1"/>
  <c r="FI10" i="20" s="1"/>
  <c r="FI11" i="20" s="1"/>
  <c r="FI12" i="20" s="1"/>
  <c r="FI13" i="20" s="1"/>
  <c r="FI14" i="20" s="1"/>
  <c r="FI15" i="20" s="1"/>
  <c r="FI16" i="20" s="1"/>
  <c r="FI17" i="20" s="1"/>
  <c r="FI18" i="20" s="1"/>
  <c r="FI19" i="20" s="1"/>
  <c r="FI20" i="20" s="1"/>
  <c r="FI21" i="20" s="1"/>
  <c r="FI22" i="20" s="1"/>
  <c r="FI23" i="20" s="1"/>
  <c r="FI24" i="20" s="1"/>
  <c r="FI25" i="20" s="1"/>
  <c r="FI26" i="20" s="1"/>
  <c r="FI27" i="20" s="1"/>
  <c r="FI28" i="20" s="1"/>
  <c r="EO6" i="20"/>
  <c r="EN6" i="20"/>
  <c r="EN7" i="20" s="1"/>
  <c r="EN8" i="20" s="1"/>
  <c r="EN9" i="20" s="1"/>
  <c r="EN10" i="20" s="1"/>
  <c r="EN11" i="20" s="1"/>
  <c r="EN12" i="20" s="1"/>
  <c r="EN13" i="20" s="1"/>
  <c r="EN14" i="20" s="1"/>
  <c r="EN15" i="20" s="1"/>
  <c r="EN16" i="20" s="1"/>
  <c r="EN17" i="20" s="1"/>
  <c r="EN18" i="20" s="1"/>
  <c r="EN19" i="20" s="1"/>
  <c r="EN20" i="20" s="1"/>
  <c r="EN21" i="20" s="1"/>
  <c r="EN22" i="20" s="1"/>
  <c r="EN23" i="20" s="1"/>
  <c r="EN24" i="20" s="1"/>
  <c r="EN25" i="20" s="1"/>
  <c r="EN26" i="20" s="1"/>
  <c r="EN27" i="20" s="1"/>
  <c r="EN28" i="20" s="1"/>
  <c r="EI6" i="20"/>
  <c r="DX6" i="20"/>
  <c r="DW6" i="20"/>
  <c r="DW7" i="20" s="1"/>
  <c r="DW8" i="20" s="1"/>
  <c r="DW9" i="20" s="1"/>
  <c r="DW10" i="20" s="1"/>
  <c r="DW11" i="20" s="1"/>
  <c r="DW12" i="20" s="1"/>
  <c r="DW13" i="20" s="1"/>
  <c r="DW14" i="20" s="1"/>
  <c r="DW15" i="20" s="1"/>
  <c r="DW16" i="20" s="1"/>
  <c r="DW17" i="20" s="1"/>
  <c r="DW18" i="20" s="1"/>
  <c r="DW19" i="20" s="1"/>
  <c r="DW20" i="20" s="1"/>
  <c r="DW21" i="20" s="1"/>
  <c r="DW22" i="20" s="1"/>
  <c r="DW23" i="20" s="1"/>
  <c r="DW24" i="20" s="1"/>
  <c r="DW25" i="20" s="1"/>
  <c r="DW26" i="20" s="1"/>
  <c r="DW27" i="20" s="1"/>
  <c r="DW28" i="20" s="1"/>
  <c r="DI6" i="20"/>
  <c r="CJ6" i="20"/>
  <c r="CI6" i="20"/>
  <c r="CI7" i="20" s="1"/>
  <c r="CI8" i="20" s="1"/>
  <c r="CI9" i="20" s="1"/>
  <c r="CI10" i="20" s="1"/>
  <c r="CI11" i="20" s="1"/>
  <c r="CI12" i="20" s="1"/>
  <c r="CI13" i="20" s="1"/>
  <c r="CI14" i="20" s="1"/>
  <c r="CI15" i="20" s="1"/>
  <c r="CI16" i="20" s="1"/>
  <c r="CI17" i="20" s="1"/>
  <c r="CI18" i="20" s="1"/>
  <c r="CI19" i="20" s="1"/>
  <c r="CI20" i="20" s="1"/>
  <c r="CI21" i="20" s="1"/>
  <c r="CI22" i="20" s="1"/>
  <c r="CI23" i="20" s="1"/>
  <c r="CI24" i="20" s="1"/>
  <c r="CI25" i="20" s="1"/>
  <c r="CI26" i="20" s="1"/>
  <c r="CI27" i="20" s="1"/>
  <c r="CI28" i="20" s="1"/>
  <c r="CA6" i="20"/>
  <c r="BX6" i="20"/>
  <c r="BX7" i="20" s="1"/>
  <c r="BX8" i="20" s="1"/>
  <c r="BM6" i="20"/>
  <c r="BL6" i="20"/>
  <c r="BL7" i="20" s="1"/>
  <c r="BL8" i="20" s="1"/>
  <c r="BL9" i="20" s="1"/>
  <c r="BL10" i="20" s="1"/>
  <c r="BL11" i="20" s="1"/>
  <c r="BL12" i="20" s="1"/>
  <c r="BL13" i="20" s="1"/>
  <c r="BL14" i="20" s="1"/>
  <c r="BL15" i="20" s="1"/>
  <c r="BL16" i="20" s="1"/>
  <c r="BL17" i="20" s="1"/>
  <c r="BL18" i="20" s="1"/>
  <c r="BL19" i="20" s="1"/>
  <c r="BL20" i="20" s="1"/>
  <c r="BL21" i="20" s="1"/>
  <c r="BL22" i="20" s="1"/>
  <c r="BL23" i="20" s="1"/>
  <c r="BL24" i="20" s="1"/>
  <c r="BL25" i="20" s="1"/>
  <c r="BL26" i="20" s="1"/>
  <c r="BL27" i="20" s="1"/>
  <c r="BL28" i="20" s="1"/>
  <c r="BG6" i="20"/>
  <c r="AU6" i="20"/>
  <c r="AR6" i="20"/>
  <c r="AQ6" i="20"/>
  <c r="AQ7" i="20" s="1"/>
  <c r="AQ8" i="20" s="1"/>
  <c r="AQ9" i="20" s="1"/>
  <c r="AQ10" i="20" s="1"/>
  <c r="AQ11" i="20" s="1"/>
  <c r="AQ12" i="20" s="1"/>
  <c r="AQ13" i="20" s="1"/>
  <c r="AQ14" i="20" s="1"/>
  <c r="AQ15" i="20" s="1"/>
  <c r="AQ16" i="20" s="1"/>
  <c r="AQ17" i="20" s="1"/>
  <c r="AQ18" i="20" s="1"/>
  <c r="AQ19" i="20" s="1"/>
  <c r="AQ20" i="20" s="1"/>
  <c r="AQ21" i="20" s="1"/>
  <c r="AQ22" i="20" s="1"/>
  <c r="AQ23" i="20" s="1"/>
  <c r="AQ24" i="20" s="1"/>
  <c r="AQ25" i="20" s="1"/>
  <c r="AQ26" i="20" s="1"/>
  <c r="AQ27" i="20" s="1"/>
  <c r="AQ28" i="20" s="1"/>
  <c r="W6" i="20"/>
  <c r="V6" i="20"/>
  <c r="V7" i="20" s="1"/>
  <c r="V8" i="20" s="1"/>
  <c r="V9" i="20" s="1"/>
  <c r="V10" i="20" s="1"/>
  <c r="V11" i="20" s="1"/>
  <c r="V12" i="20" s="1"/>
  <c r="V13" i="20" s="1"/>
  <c r="V14" i="20" s="1"/>
  <c r="V15" i="20" s="1"/>
  <c r="V16" i="20" s="1"/>
  <c r="V17" i="20" s="1"/>
  <c r="V18" i="20" s="1"/>
  <c r="V19" i="20" s="1"/>
  <c r="V20" i="20" s="1"/>
  <c r="V21" i="20" s="1"/>
  <c r="V22" i="20" s="1"/>
  <c r="V23" i="20" s="1"/>
  <c r="V24" i="20" s="1"/>
  <c r="V25" i="20" s="1"/>
  <c r="V26" i="20" s="1"/>
  <c r="V27" i="20" s="1"/>
  <c r="V28" i="20" s="1"/>
  <c r="P6" i="20"/>
  <c r="N6" i="20"/>
  <c r="JW5" i="20"/>
  <c r="JJ5" i="20"/>
  <c r="JW4" i="20" s="1"/>
  <c r="IT5" i="20"/>
  <c r="HT5" i="20"/>
  <c r="HK5" i="20"/>
  <c r="HA5" i="20"/>
  <c r="GV5" i="20"/>
  <c r="GV6" i="20" s="1"/>
  <c r="GV7" i="20" s="1"/>
  <c r="GV8" i="20" s="1"/>
  <c r="GV9" i="20" s="1"/>
  <c r="GV10" i="20" s="1"/>
  <c r="GV11" i="20" s="1"/>
  <c r="GV12" i="20" s="1"/>
  <c r="GV13" i="20" s="1"/>
  <c r="GV14" i="20" s="1"/>
  <c r="GV15" i="20" s="1"/>
  <c r="GV16" i="20" s="1"/>
  <c r="GV17" i="20" s="1"/>
  <c r="GV18" i="20" s="1"/>
  <c r="GV19" i="20" s="1"/>
  <c r="GV20" i="20" s="1"/>
  <c r="GV21" i="20" s="1"/>
  <c r="GV22" i="20" s="1"/>
  <c r="GV23" i="20" s="1"/>
  <c r="GV24" i="20" s="1"/>
  <c r="GV25" i="20" s="1"/>
  <c r="GV26" i="20" s="1"/>
  <c r="GV27" i="20" s="1"/>
  <c r="GR5" i="20"/>
  <c r="GH5" i="20"/>
  <c r="GG5" i="20"/>
  <c r="FR5" i="20"/>
  <c r="FJ5" i="20"/>
  <c r="FI5" i="20"/>
  <c r="FE5" i="20"/>
  <c r="EO5" i="20"/>
  <c r="EN5" i="20"/>
  <c r="DX5" i="20"/>
  <c r="DW5" i="20"/>
  <c r="DI5" i="20"/>
  <c r="CJ5" i="20"/>
  <c r="CI5" i="20"/>
  <c r="CA5" i="20"/>
  <c r="BX5" i="20"/>
  <c r="BM5" i="20"/>
  <c r="BL5" i="20"/>
  <c r="AU5" i="20"/>
  <c r="AR5" i="20"/>
  <c r="AT5" i="20" s="1"/>
  <c r="AQ5" i="20"/>
  <c r="W5" i="20"/>
  <c r="V5" i="20"/>
  <c r="P5" i="20"/>
  <c r="N5" i="20"/>
  <c r="JJ4" i="20"/>
  <c r="IT4" i="20"/>
  <c r="ID4" i="20"/>
  <c r="HT4" i="20"/>
  <c r="HK4" i="20"/>
  <c r="HA4" i="20"/>
  <c r="GR4" i="20"/>
  <c r="GR28" i="20" s="1"/>
  <c r="GH4" i="20"/>
  <c r="FJ4" i="20"/>
  <c r="EO4" i="20"/>
  <c r="DX4" i="20"/>
  <c r="DI4" i="20"/>
  <c r="CJ4" i="20"/>
  <c r="CA4" i="20"/>
  <c r="BM4" i="20"/>
  <c r="BF4" i="20"/>
  <c r="AU4" i="20"/>
  <c r="AR4" i="20"/>
  <c r="W4" i="20"/>
  <c r="P4" i="20"/>
  <c r="N4" i="20"/>
  <c r="JW3" i="20"/>
  <c r="JY3" i="20" s="1"/>
  <c r="JI2" i="20"/>
  <c r="HS2" i="20"/>
  <c r="FL2" i="20"/>
  <c r="DC2" i="20"/>
  <c r="DB2" i="20"/>
  <c r="DA2" i="20"/>
  <c r="BQ2" i="20"/>
  <c r="BO2" i="20"/>
  <c r="NI35" i="19"/>
  <c r="FL35" i="19"/>
  <c r="FK35" i="19"/>
  <c r="FJ35" i="19"/>
  <c r="FM35" i="19" s="1"/>
  <c r="NI34" i="19"/>
  <c r="FM34" i="19"/>
  <c r="FM33" i="19"/>
  <c r="NI32" i="19"/>
  <c r="NK31" i="19"/>
  <c r="NL31" i="19" s="1"/>
  <c r="NM31" i="19" s="1"/>
  <c r="NI31" i="19"/>
  <c r="FL31" i="19"/>
  <c r="FK31" i="19"/>
  <c r="FJ31" i="19"/>
  <c r="FM31" i="19" s="1"/>
  <c r="FM30" i="19"/>
  <c r="NC29" i="19"/>
  <c r="NB29" i="19"/>
  <c r="MZ29" i="19"/>
  <c r="FM29" i="19"/>
  <c r="FM28" i="19"/>
  <c r="NL27" i="19"/>
  <c r="NM27" i="19" s="1"/>
  <c r="NC27" i="19"/>
  <c r="FM27" i="19"/>
  <c r="NK26" i="19"/>
  <c r="NL26" i="19" s="1"/>
  <c r="NM26" i="19" s="1"/>
  <c r="NC26" i="19"/>
  <c r="KP26" i="19"/>
  <c r="KF26" i="19"/>
  <c r="JS26" i="19"/>
  <c r="JQ26" i="19"/>
  <c r="JO26" i="19"/>
  <c r="JM26" i="19"/>
  <c r="JL26" i="19"/>
  <c r="JK26" i="19"/>
  <c r="JI26" i="19"/>
  <c r="AJ13" i="19" s="1"/>
  <c r="JG26" i="19"/>
  <c r="AI13" i="19" s="1"/>
  <c r="JE26" i="19"/>
  <c r="IU26" i="19"/>
  <c r="IU27" i="19" s="1"/>
  <c r="IT26" i="19"/>
  <c r="IS26" i="19"/>
  <c r="IR26" i="19"/>
  <c r="IQ26" i="19"/>
  <c r="IP26" i="19"/>
  <c r="IN26" i="19"/>
  <c r="IV26" i="19" s="1"/>
  <c r="IB26" i="19"/>
  <c r="IA26" i="19"/>
  <c r="HZ26" i="19"/>
  <c r="IC26" i="19" s="1"/>
  <c r="JC26" i="19" s="1"/>
  <c r="HY26" i="19"/>
  <c r="FM26" i="19"/>
  <c r="NI25" i="19"/>
  <c r="KY25" i="19"/>
  <c r="KX25" i="19"/>
  <c r="KW25" i="19"/>
  <c r="KV25" i="19"/>
  <c r="KU25" i="19"/>
  <c r="KT25" i="19"/>
  <c r="KP25" i="19"/>
  <c r="KE25" i="19"/>
  <c r="KC25" i="19"/>
  <c r="KD25" i="19" s="1"/>
  <c r="KG25" i="19" s="1"/>
  <c r="LG26" i="19" s="1"/>
  <c r="LP26" i="19" s="1"/>
  <c r="JU25" i="19"/>
  <c r="MI25" i="19" s="1"/>
  <c r="IV25" i="19"/>
  <c r="MF25" i="19" s="1"/>
  <c r="ML25" i="19" s="1"/>
  <c r="ID25" i="19"/>
  <c r="IC25" i="19"/>
  <c r="JC25" i="19" s="1"/>
  <c r="JJ25" i="19" s="1"/>
  <c r="LN26" i="19" s="1"/>
  <c r="H25" i="19"/>
  <c r="F25" i="19"/>
  <c r="NI24" i="19"/>
  <c r="KY24" i="19"/>
  <c r="KX24" i="19"/>
  <c r="KW24" i="19"/>
  <c r="KV24" i="19"/>
  <c r="KU24" i="19"/>
  <c r="KT24" i="19"/>
  <c r="KP24" i="19"/>
  <c r="KE24" i="19"/>
  <c r="KD24" i="19"/>
  <c r="KG24" i="19" s="1"/>
  <c r="LG25" i="19" s="1"/>
  <c r="LP25" i="19" s="1"/>
  <c r="KC24" i="19"/>
  <c r="JU24" i="19"/>
  <c r="MI24" i="19" s="1"/>
  <c r="IV24" i="19"/>
  <c r="MF24" i="19" s="1"/>
  <c r="ML24" i="19" s="1"/>
  <c r="ID24" i="19"/>
  <c r="IC24" i="19"/>
  <c r="JC24" i="19" s="1"/>
  <c r="JJ24" i="19" s="1"/>
  <c r="LN25" i="19" s="1"/>
  <c r="FL24" i="19"/>
  <c r="FL36" i="19" s="1"/>
  <c r="FK24" i="19"/>
  <c r="FK36" i="19" s="1"/>
  <c r="FJ24" i="19"/>
  <c r="N24" i="19"/>
  <c r="K24" i="19"/>
  <c r="L11" i="19" s="1"/>
  <c r="H24" i="19"/>
  <c r="F24" i="19"/>
  <c r="NK23" i="19"/>
  <c r="NL23" i="19" s="1"/>
  <c r="NM23" i="19" s="1"/>
  <c r="NI23" i="19"/>
  <c r="KY23" i="19"/>
  <c r="KX23" i="19"/>
  <c r="KW23" i="19"/>
  <c r="KV23" i="19"/>
  <c r="KU23" i="19"/>
  <c r="KT23" i="19"/>
  <c r="KP23" i="19"/>
  <c r="KE23" i="19"/>
  <c r="KD23" i="19"/>
  <c r="KG23" i="19" s="1"/>
  <c r="LG24" i="19" s="1"/>
  <c r="LP24" i="19" s="1"/>
  <c r="KC23" i="19"/>
  <c r="JU23" i="19"/>
  <c r="MI23" i="19" s="1"/>
  <c r="IV23" i="19"/>
  <c r="MF23" i="19" s="1"/>
  <c r="ML23" i="19" s="1"/>
  <c r="ID23" i="19"/>
  <c r="IC23" i="19"/>
  <c r="JC23" i="19" s="1"/>
  <c r="JJ23" i="19" s="1"/>
  <c r="LN24" i="19" s="1"/>
  <c r="FM23" i="19"/>
  <c r="CC23" i="19"/>
  <c r="CF23" i="19" s="1"/>
  <c r="CG23" i="19" s="1"/>
  <c r="KY22" i="19"/>
  <c r="KX22" i="19"/>
  <c r="KW22" i="19"/>
  <c r="KV22" i="19"/>
  <c r="KU22" i="19"/>
  <c r="KT22" i="19"/>
  <c r="KP22" i="19"/>
  <c r="KE22" i="19"/>
  <c r="KD22" i="19"/>
  <c r="KG22" i="19" s="1"/>
  <c r="LG23" i="19" s="1"/>
  <c r="LP23" i="19" s="1"/>
  <c r="KC22" i="19"/>
  <c r="JU22" i="19"/>
  <c r="MI22" i="19" s="1"/>
  <c r="IV22" i="19"/>
  <c r="MF22" i="19" s="1"/>
  <c r="ML22" i="19" s="1"/>
  <c r="ID22" i="19"/>
  <c r="IC22" i="19"/>
  <c r="JC22" i="19" s="1"/>
  <c r="JJ22" i="19" s="1"/>
  <c r="LN23" i="19" s="1"/>
  <c r="FM22" i="19"/>
  <c r="CC22" i="19"/>
  <c r="CF22" i="19" s="1"/>
  <c r="CG22" i="19" s="1"/>
  <c r="NI21" i="19"/>
  <c r="KY21" i="19"/>
  <c r="KX21" i="19"/>
  <c r="KW21" i="19"/>
  <c r="KV21" i="19"/>
  <c r="KU21" i="19"/>
  <c r="KT21" i="19"/>
  <c r="KP21" i="19"/>
  <c r="KE21" i="19"/>
  <c r="KC21" i="19"/>
  <c r="KD21" i="19" s="1"/>
  <c r="KG21" i="19" s="1"/>
  <c r="LG22" i="19" s="1"/>
  <c r="LP22" i="19" s="1"/>
  <c r="JU21" i="19"/>
  <c r="MI21" i="19" s="1"/>
  <c r="IV21" i="19"/>
  <c r="MF21" i="19" s="1"/>
  <c r="ML21" i="19" s="1"/>
  <c r="ID21" i="19"/>
  <c r="IC21" i="19"/>
  <c r="JC21" i="19" s="1"/>
  <c r="JJ21" i="19" s="1"/>
  <c r="LN22" i="19" s="1"/>
  <c r="NI20" i="19"/>
  <c r="KX20" i="19"/>
  <c r="KV20" i="19"/>
  <c r="KT20" i="19"/>
  <c r="KP20" i="19"/>
  <c r="KE20" i="19"/>
  <c r="KC20" i="19"/>
  <c r="KD20" i="19" s="1"/>
  <c r="KG20" i="19" s="1"/>
  <c r="LG21" i="19" s="1"/>
  <c r="LP21" i="19" s="1"/>
  <c r="JU20" i="19"/>
  <c r="MI20" i="19" s="1"/>
  <c r="IV20" i="19"/>
  <c r="MF20" i="19" s="1"/>
  <c r="ML20" i="19" s="1"/>
  <c r="ID20" i="19"/>
  <c r="IC20" i="19"/>
  <c r="JC20" i="19" s="1"/>
  <c r="JJ20" i="19" s="1"/>
  <c r="LN21" i="19" s="1"/>
  <c r="FL20" i="19"/>
  <c r="FK20" i="19"/>
  <c r="FJ20" i="19"/>
  <c r="FM20" i="19" s="1"/>
  <c r="CB20" i="19"/>
  <c r="BY20" i="19"/>
  <c r="BV20" i="19"/>
  <c r="BR20" i="19"/>
  <c r="BN20" i="19"/>
  <c r="BJ20" i="19"/>
  <c r="BF20" i="19"/>
  <c r="BB20" i="19"/>
  <c r="AX20" i="19"/>
  <c r="H20" i="19"/>
  <c r="NI19" i="19"/>
  <c r="KX19" i="19"/>
  <c r="KV19" i="19"/>
  <c r="KT19" i="19"/>
  <c r="KP19" i="19"/>
  <c r="KE19" i="19"/>
  <c r="KC19" i="19"/>
  <c r="KD19" i="19" s="1"/>
  <c r="KG19" i="19" s="1"/>
  <c r="LG20" i="19" s="1"/>
  <c r="LP20" i="19" s="1"/>
  <c r="JU19" i="19"/>
  <c r="MI19" i="19" s="1"/>
  <c r="IV19" i="19"/>
  <c r="MF19" i="19" s="1"/>
  <c r="ML19" i="19" s="1"/>
  <c r="ID19" i="19"/>
  <c r="IC19" i="19"/>
  <c r="JC19" i="19" s="1"/>
  <c r="JJ19" i="19" s="1"/>
  <c r="LN20" i="19" s="1"/>
  <c r="FM19" i="19"/>
  <c r="CB19" i="19"/>
  <c r="BY19" i="19"/>
  <c r="BV19" i="19"/>
  <c r="BR19" i="19"/>
  <c r="BN19" i="19"/>
  <c r="BJ19" i="19"/>
  <c r="BF19" i="19"/>
  <c r="BB19" i="19"/>
  <c r="AX19" i="19"/>
  <c r="NI18" i="19"/>
  <c r="KX18" i="19"/>
  <c r="KV18" i="19"/>
  <c r="KT18" i="19"/>
  <c r="KP18" i="19"/>
  <c r="KE18" i="19"/>
  <c r="KC18" i="19"/>
  <c r="KD18" i="19" s="1"/>
  <c r="KG18" i="19" s="1"/>
  <c r="LG19" i="19" s="1"/>
  <c r="LP19" i="19" s="1"/>
  <c r="JU18" i="19"/>
  <c r="MI18" i="19" s="1"/>
  <c r="IV18" i="19"/>
  <c r="MF18" i="19" s="1"/>
  <c r="ML18" i="19" s="1"/>
  <c r="ID18" i="19"/>
  <c r="IC18" i="19"/>
  <c r="JC18" i="19" s="1"/>
  <c r="JJ18" i="19" s="1"/>
  <c r="LN19" i="19" s="1"/>
  <c r="FM18" i="19"/>
  <c r="CB18" i="19"/>
  <c r="BY18" i="19"/>
  <c r="BV18" i="19"/>
  <c r="BR18" i="19"/>
  <c r="BN18" i="19"/>
  <c r="BJ18" i="19"/>
  <c r="BF18" i="19"/>
  <c r="BB18" i="19"/>
  <c r="AX18" i="19"/>
  <c r="NI17" i="19"/>
  <c r="KX17" i="19"/>
  <c r="KV17" i="19"/>
  <c r="KT17" i="19"/>
  <c r="KP17" i="19"/>
  <c r="KE17" i="19"/>
  <c r="KC17" i="19"/>
  <c r="KD17" i="19" s="1"/>
  <c r="KG17" i="19" s="1"/>
  <c r="LG18" i="19" s="1"/>
  <c r="LP18" i="19" s="1"/>
  <c r="JU17" i="19"/>
  <c r="MI17" i="19" s="1"/>
  <c r="IV17" i="19"/>
  <c r="MF17" i="19" s="1"/>
  <c r="ML17" i="19" s="1"/>
  <c r="ID17" i="19"/>
  <c r="IC17" i="19"/>
  <c r="JC17" i="19" s="1"/>
  <c r="JJ17" i="19" s="1"/>
  <c r="LN18" i="19" s="1"/>
  <c r="FM17" i="19"/>
  <c r="CB17" i="19"/>
  <c r="BY17" i="19"/>
  <c r="BV17" i="19"/>
  <c r="BR17" i="19"/>
  <c r="BN17" i="19"/>
  <c r="BJ17" i="19"/>
  <c r="BF17" i="19"/>
  <c r="BB17" i="19"/>
  <c r="AX17" i="19"/>
  <c r="H17" i="19"/>
  <c r="F17" i="19"/>
  <c r="G17" i="19" s="1"/>
  <c r="CD16" i="19" s="1"/>
  <c r="CE16" i="19" s="1"/>
  <c r="NI16" i="19"/>
  <c r="KX16" i="19"/>
  <c r="KV16" i="19"/>
  <c r="KT16" i="19"/>
  <c r="KP16" i="19"/>
  <c r="KE16" i="19"/>
  <c r="KC16" i="19"/>
  <c r="KD16" i="19" s="1"/>
  <c r="KG16" i="19" s="1"/>
  <c r="LG17" i="19" s="1"/>
  <c r="LP17" i="19" s="1"/>
  <c r="JU16" i="19"/>
  <c r="MI16" i="19" s="1"/>
  <c r="IV16" i="19"/>
  <c r="MF16" i="19" s="1"/>
  <c r="ML16" i="19" s="1"/>
  <c r="ID16" i="19"/>
  <c r="IC16" i="19"/>
  <c r="JC16" i="19" s="1"/>
  <c r="JJ16" i="19" s="1"/>
  <c r="LN17" i="19" s="1"/>
  <c r="FM16" i="19"/>
  <c r="CC16" i="19"/>
  <c r="CF16" i="19" s="1"/>
  <c r="CG16" i="19" s="1"/>
  <c r="CB16" i="19"/>
  <c r="BY16" i="19"/>
  <c r="BV16" i="19"/>
  <c r="BR16" i="19"/>
  <c r="BN16" i="19"/>
  <c r="BJ16" i="19"/>
  <c r="BF16" i="19"/>
  <c r="BB16" i="19"/>
  <c r="AX16" i="19"/>
  <c r="AN16" i="19"/>
  <c r="AN17" i="19" s="1"/>
  <c r="AN18" i="19" s="1"/>
  <c r="AN19" i="19" s="1"/>
  <c r="AN20" i="19" s="1"/>
  <c r="H16" i="19"/>
  <c r="F16" i="19"/>
  <c r="NI15" i="19"/>
  <c r="KY15" i="19"/>
  <c r="KX15" i="19"/>
  <c r="KW15" i="19"/>
  <c r="KV15" i="19"/>
  <c r="KU15" i="19"/>
  <c r="KT15" i="19"/>
  <c r="KP15" i="19"/>
  <c r="KE15" i="19"/>
  <c r="KC15" i="19"/>
  <c r="KD15" i="19" s="1"/>
  <c r="KG15" i="19" s="1"/>
  <c r="LG16" i="19" s="1"/>
  <c r="LP16" i="19" s="1"/>
  <c r="JU15" i="19"/>
  <c r="MI15" i="19" s="1"/>
  <c r="IV15" i="19"/>
  <c r="MF15" i="19" s="1"/>
  <c r="ML15" i="19" s="1"/>
  <c r="ID15" i="19"/>
  <c r="IC15" i="19"/>
  <c r="JC15" i="19" s="1"/>
  <c r="JJ15" i="19" s="1"/>
  <c r="LN16" i="19" s="1"/>
  <c r="FM15" i="19"/>
  <c r="CC15" i="19"/>
  <c r="CF15" i="19" s="1"/>
  <c r="CG15" i="19" s="1"/>
  <c r="CB15" i="19"/>
  <c r="BY15" i="19"/>
  <c r="BV15" i="19"/>
  <c r="BR15" i="19"/>
  <c r="BN15" i="19"/>
  <c r="BJ15" i="19"/>
  <c r="BF15" i="19"/>
  <c r="BB15" i="19"/>
  <c r="AX15" i="19"/>
  <c r="H15" i="19"/>
  <c r="F15" i="19"/>
  <c r="NI14" i="19"/>
  <c r="KY14" i="19"/>
  <c r="KX14" i="19"/>
  <c r="KW14" i="19"/>
  <c r="KV14" i="19"/>
  <c r="KU14" i="19"/>
  <c r="KT14" i="19"/>
  <c r="KP14" i="19"/>
  <c r="KE14" i="19"/>
  <c r="KC14" i="19"/>
  <c r="KD14" i="19" s="1"/>
  <c r="KG14" i="19" s="1"/>
  <c r="LG15" i="19" s="1"/>
  <c r="LP15" i="19" s="1"/>
  <c r="JU14" i="19"/>
  <c r="MI14" i="19" s="1"/>
  <c r="IV14" i="19"/>
  <c r="MF14" i="19" s="1"/>
  <c r="ML14" i="19" s="1"/>
  <c r="ID14" i="19"/>
  <c r="IC14" i="19"/>
  <c r="JC14" i="19" s="1"/>
  <c r="JJ14" i="19" s="1"/>
  <c r="LN15" i="19" s="1"/>
  <c r="GE14" i="19"/>
  <c r="GD14" i="19"/>
  <c r="HD12" i="19" s="1"/>
  <c r="HD14" i="19" s="1"/>
  <c r="GC14" i="19"/>
  <c r="HC12" i="19" s="1"/>
  <c r="HC14" i="19" s="1"/>
  <c r="GB14" i="19"/>
  <c r="HB12" i="19" s="1"/>
  <c r="GA14" i="19"/>
  <c r="FZ14" i="19"/>
  <c r="GZ12" i="19" s="1"/>
  <c r="GZ14" i="19" s="1"/>
  <c r="FY14" i="19"/>
  <c r="GY12" i="19" s="1"/>
  <c r="GY14" i="19" s="1"/>
  <c r="FX14" i="19"/>
  <c r="GX12" i="19" s="1"/>
  <c r="FM14" i="19"/>
  <c r="CC14" i="19"/>
  <c r="CF14" i="19" s="1"/>
  <c r="CG14" i="19" s="1"/>
  <c r="CB14" i="19"/>
  <c r="BY14" i="19"/>
  <c r="BV14" i="19"/>
  <c r="BR14" i="19"/>
  <c r="BN14" i="19"/>
  <c r="BJ14" i="19"/>
  <c r="BF14" i="19"/>
  <c r="BB14" i="19"/>
  <c r="AX14" i="19"/>
  <c r="NI13" i="19"/>
  <c r="KY13" i="19"/>
  <c r="KX13" i="19"/>
  <c r="KX26" i="19" s="1"/>
  <c r="KY27" i="19" s="1"/>
  <c r="KW13" i="19"/>
  <c r="KV13" i="19"/>
  <c r="KV26" i="19" s="1"/>
  <c r="KW27" i="19" s="1"/>
  <c r="KU13" i="19"/>
  <c r="KT13" i="19"/>
  <c r="KP13" i="19"/>
  <c r="KE13" i="19"/>
  <c r="KC13" i="19"/>
  <c r="JU13" i="19"/>
  <c r="MI13" i="19" s="1"/>
  <c r="JD13" i="19"/>
  <c r="JC13" i="19"/>
  <c r="JJ13" i="19" s="1"/>
  <c r="IV13" i="19"/>
  <c r="MF13" i="19" s="1"/>
  <c r="ML13" i="19" s="1"/>
  <c r="IM13" i="19"/>
  <c r="IO13" i="19" s="1"/>
  <c r="ID13" i="19"/>
  <c r="IC13" i="19"/>
  <c r="GE13" i="19"/>
  <c r="FM13" i="19"/>
  <c r="CB13" i="19"/>
  <c r="BY13" i="19"/>
  <c r="BV13" i="19"/>
  <c r="BR13" i="19"/>
  <c r="BN13" i="19"/>
  <c r="BJ13" i="19"/>
  <c r="BF13" i="19"/>
  <c r="BB13" i="19"/>
  <c r="AX13" i="19"/>
  <c r="NI12" i="19"/>
  <c r="KX12" i="19"/>
  <c r="KV12" i="19"/>
  <c r="KT12" i="19"/>
  <c r="KP12" i="19"/>
  <c r="KE12" i="19"/>
  <c r="KC12" i="19"/>
  <c r="KD12" i="19" s="1"/>
  <c r="KG12" i="19" s="1"/>
  <c r="LG13" i="19" s="1"/>
  <c r="LP13" i="19" s="1"/>
  <c r="JU12" i="19"/>
  <c r="MI12" i="19" s="1"/>
  <c r="IV12" i="19"/>
  <c r="MF12" i="19" s="1"/>
  <c r="ML12" i="19" s="1"/>
  <c r="ID12" i="19"/>
  <c r="IC12" i="19"/>
  <c r="JC12" i="19" s="1"/>
  <c r="JJ12" i="19" s="1"/>
  <c r="LN13" i="19" s="1"/>
  <c r="GQ12" i="19"/>
  <c r="HD13" i="19" s="1"/>
  <c r="GP12" i="19"/>
  <c r="HC13" i="19" s="1"/>
  <c r="GO12" i="19"/>
  <c r="HB13" i="19" s="1"/>
  <c r="GM12" i="19"/>
  <c r="GZ13" i="19" s="1"/>
  <c r="GL12" i="19"/>
  <c r="GY13" i="19" s="1"/>
  <c r="GK12" i="19"/>
  <c r="GX13" i="19" s="1"/>
  <c r="HA13" i="19" s="1"/>
  <c r="GE12" i="19"/>
  <c r="FM12" i="19"/>
  <c r="DZ12" i="19"/>
  <c r="DY12" i="19"/>
  <c r="DX12" i="19"/>
  <c r="DW12" i="19"/>
  <c r="DV12" i="19"/>
  <c r="DU12" i="19"/>
  <c r="DT12" i="19"/>
  <c r="DS12" i="19"/>
  <c r="Z12" i="19"/>
  <c r="Y12" i="19"/>
  <c r="X12" i="19"/>
  <c r="NI11" i="19"/>
  <c r="NC11" i="19"/>
  <c r="KX11" i="19"/>
  <c r="KV11" i="19"/>
  <c r="KT11" i="19"/>
  <c r="KP11" i="19"/>
  <c r="KE11" i="19"/>
  <c r="KC11" i="19"/>
  <c r="KD11" i="19" s="1"/>
  <c r="KG11" i="19" s="1"/>
  <c r="LG12" i="19" s="1"/>
  <c r="LP12" i="19" s="1"/>
  <c r="JU11" i="19"/>
  <c r="MI11" i="19" s="1"/>
  <c r="IV11" i="19"/>
  <c r="MF11" i="19" s="1"/>
  <c r="ML11" i="19" s="1"/>
  <c r="ID11" i="19"/>
  <c r="IC11" i="19"/>
  <c r="JC11" i="19" s="1"/>
  <c r="JJ11" i="19" s="1"/>
  <c r="LN12" i="19" s="1"/>
  <c r="HE11" i="19"/>
  <c r="HA11" i="19"/>
  <c r="GR11" i="19"/>
  <c r="GN11" i="19"/>
  <c r="GE11" i="19"/>
  <c r="FM11" i="19"/>
  <c r="CB11" i="19"/>
  <c r="BY11" i="19"/>
  <c r="BV11" i="19"/>
  <c r="BR11" i="19"/>
  <c r="BN11" i="19"/>
  <c r="BJ11" i="19"/>
  <c r="BF11" i="19"/>
  <c r="BB11" i="19"/>
  <c r="AX11" i="19"/>
  <c r="N11" i="19"/>
  <c r="M11" i="19"/>
  <c r="J11" i="19"/>
  <c r="NI10" i="19"/>
  <c r="KX10" i="19"/>
  <c r="KV10" i="19"/>
  <c r="KT10" i="19"/>
  <c r="KP10" i="19"/>
  <c r="KE10" i="19"/>
  <c r="KC10" i="19"/>
  <c r="KD10" i="19" s="1"/>
  <c r="KG10" i="19" s="1"/>
  <c r="LG11" i="19" s="1"/>
  <c r="LP11" i="19" s="1"/>
  <c r="JU10" i="19"/>
  <c r="MI10" i="19" s="1"/>
  <c r="IV10" i="19"/>
  <c r="MF10" i="19" s="1"/>
  <c r="ML10" i="19" s="1"/>
  <c r="ID10" i="19"/>
  <c r="IC10" i="19"/>
  <c r="JC10" i="19" s="1"/>
  <c r="JJ10" i="19" s="1"/>
  <c r="LN11" i="19" s="1"/>
  <c r="HE10" i="19"/>
  <c r="HA10" i="19"/>
  <c r="GR10" i="19"/>
  <c r="GN10" i="19"/>
  <c r="GE10" i="19"/>
  <c r="FM10" i="19"/>
  <c r="CB10" i="19"/>
  <c r="BY10" i="19"/>
  <c r="BV10" i="19"/>
  <c r="BR10" i="19"/>
  <c r="BN10" i="19"/>
  <c r="BJ10" i="19"/>
  <c r="BF10" i="19"/>
  <c r="BB10" i="19"/>
  <c r="AX10" i="19"/>
  <c r="AA10" i="19"/>
  <c r="NI9" i="19"/>
  <c r="MT9" i="19"/>
  <c r="MT12" i="19" s="1"/>
  <c r="MT13" i="19" s="1"/>
  <c r="D11" i="20" s="1"/>
  <c r="FE4" i="20" s="1"/>
  <c r="FE6" i="20" s="1"/>
  <c r="FM28" i="20" s="1"/>
  <c r="FN28" i="20" s="1"/>
  <c r="KX9" i="19"/>
  <c r="KV9" i="19"/>
  <c r="KT9" i="19"/>
  <c r="KP9" i="19"/>
  <c r="KE9" i="19"/>
  <c r="KC9" i="19"/>
  <c r="KD9" i="19" s="1"/>
  <c r="KG9" i="19" s="1"/>
  <c r="LG10" i="19" s="1"/>
  <c r="LP10" i="19" s="1"/>
  <c r="JU9" i="19"/>
  <c r="MI9" i="19" s="1"/>
  <c r="IV9" i="19"/>
  <c r="MF9" i="19" s="1"/>
  <c r="ML9" i="19" s="1"/>
  <c r="ID9" i="19"/>
  <c r="IC9" i="19"/>
  <c r="JC9" i="19" s="1"/>
  <c r="JJ9" i="19" s="1"/>
  <c r="LN10" i="19" s="1"/>
  <c r="HQ9" i="19"/>
  <c r="HP9" i="19"/>
  <c r="HO9" i="19"/>
  <c r="HR9" i="19" s="1"/>
  <c r="HM9" i="19"/>
  <c r="HL9" i="19"/>
  <c r="HK9" i="19"/>
  <c r="HN9" i="19" s="1"/>
  <c r="HE9" i="19"/>
  <c r="HA9" i="19"/>
  <c r="GR9" i="19"/>
  <c r="GN9" i="19"/>
  <c r="GE9" i="19"/>
  <c r="FM9" i="19"/>
  <c r="FC9" i="19"/>
  <c r="H19" i="19" s="1"/>
  <c r="EY9" i="19"/>
  <c r="EX9" i="19"/>
  <c r="EW9" i="19"/>
  <c r="EU9" i="19"/>
  <c r="ET9" i="19"/>
  <c r="ES9" i="19"/>
  <c r="EL9" i="19"/>
  <c r="EK9" i="19"/>
  <c r="EJ9" i="19"/>
  <c r="EH9" i="19"/>
  <c r="EG9" i="19"/>
  <c r="EF9" i="19"/>
  <c r="DM9" i="19"/>
  <c r="DL9" i="19"/>
  <c r="AJ11" i="19" s="1"/>
  <c r="DK9" i="19"/>
  <c r="DJ9" i="19"/>
  <c r="DD9" i="19"/>
  <c r="DC9" i="19"/>
  <c r="DB9" i="19"/>
  <c r="AI11" i="19" s="1"/>
  <c r="DA9" i="19"/>
  <c r="CZ9" i="19"/>
  <c r="CS9" i="19"/>
  <c r="CR9" i="19"/>
  <c r="CQ9" i="19"/>
  <c r="AH11" i="19" s="1"/>
  <c r="CO9" i="19"/>
  <c r="CN9" i="19"/>
  <c r="CM9" i="19"/>
  <c r="CB9" i="19"/>
  <c r="BY9" i="19"/>
  <c r="BV9" i="19"/>
  <c r="BR9" i="19"/>
  <c r="BN9" i="19"/>
  <c r="BJ9" i="19"/>
  <c r="BF9" i="19"/>
  <c r="BB9" i="19"/>
  <c r="AX9" i="19"/>
  <c r="N9" i="19"/>
  <c r="NI8" i="19"/>
  <c r="NH8" i="19"/>
  <c r="NH9" i="19" s="1"/>
  <c r="NH10" i="19" s="1"/>
  <c r="NH11" i="19" s="1"/>
  <c r="NH12" i="19" s="1"/>
  <c r="NH13" i="19" s="1"/>
  <c r="NH14" i="19" s="1"/>
  <c r="NH15" i="19" s="1"/>
  <c r="NH16" i="19" s="1"/>
  <c r="NH17" i="19" s="1"/>
  <c r="NH18" i="19" s="1"/>
  <c r="NH19" i="19" s="1"/>
  <c r="NH20" i="19" s="1"/>
  <c r="NH21" i="19" s="1"/>
  <c r="NH22" i="19" s="1"/>
  <c r="NH23" i="19" s="1"/>
  <c r="NH24" i="19" s="1"/>
  <c r="NH25" i="19" s="1"/>
  <c r="NH26" i="19" s="1"/>
  <c r="NH27" i="19" s="1"/>
  <c r="NH28" i="19" s="1"/>
  <c r="NH29" i="19" s="1"/>
  <c r="NH30" i="19" s="1"/>
  <c r="NH31" i="19" s="1"/>
  <c r="NH32" i="19" s="1"/>
  <c r="NH34" i="19" s="1"/>
  <c r="NH35" i="19" s="1"/>
  <c r="MX8" i="19"/>
  <c r="MX9" i="19" s="1"/>
  <c r="MX10" i="19" s="1"/>
  <c r="MX11" i="19" s="1"/>
  <c r="MX12" i="19" s="1"/>
  <c r="MX13" i="19" s="1"/>
  <c r="MX14" i="19" s="1"/>
  <c r="MX15" i="19" s="1"/>
  <c r="MX16" i="19" s="1"/>
  <c r="MX17" i="19" s="1"/>
  <c r="MX18" i="19" s="1"/>
  <c r="MX19" i="19" s="1"/>
  <c r="MX20" i="19" s="1"/>
  <c r="MX21" i="19" s="1"/>
  <c r="MX22" i="19" s="1"/>
  <c r="MX23" i="19" s="1"/>
  <c r="MX24" i="19" s="1"/>
  <c r="MX25" i="19" s="1"/>
  <c r="MX26" i="19" s="1"/>
  <c r="MX27" i="19" s="1"/>
  <c r="MX28" i="19" s="1"/>
  <c r="MX29" i="19" s="1"/>
  <c r="MX30" i="19" s="1"/>
  <c r="MX31" i="19" s="1"/>
  <c r="MX32" i="19" s="1"/>
  <c r="MX34" i="19" s="1"/>
  <c r="MX35" i="19" s="1"/>
  <c r="KX8" i="19"/>
  <c r="KV8" i="19"/>
  <c r="KT8" i="19"/>
  <c r="KP8" i="19"/>
  <c r="KE8" i="19"/>
  <c r="KC8" i="19"/>
  <c r="KD8" i="19" s="1"/>
  <c r="KG8" i="19" s="1"/>
  <c r="LG9" i="19" s="1"/>
  <c r="LP9" i="19" s="1"/>
  <c r="JU8" i="19"/>
  <c r="MI8" i="19" s="1"/>
  <c r="IV8" i="19"/>
  <c r="MF8" i="19" s="1"/>
  <c r="ML8" i="19" s="1"/>
  <c r="ID8" i="19"/>
  <c r="IC8" i="19"/>
  <c r="JC8" i="19" s="1"/>
  <c r="JJ8" i="19" s="1"/>
  <c r="LN9" i="19" s="1"/>
  <c r="HR8" i="19"/>
  <c r="HN8" i="19"/>
  <c r="HE8" i="19"/>
  <c r="HA8" i="19"/>
  <c r="GR8" i="19"/>
  <c r="GN8" i="19"/>
  <c r="GE8" i="19"/>
  <c r="FM8" i="19"/>
  <c r="FG8" i="19"/>
  <c r="FG9" i="19" s="1"/>
  <c r="FG10" i="19" s="1"/>
  <c r="FG11" i="19" s="1"/>
  <c r="FG12" i="19" s="1"/>
  <c r="FG13" i="19" s="1"/>
  <c r="FG14" i="19" s="1"/>
  <c r="FG15" i="19" s="1"/>
  <c r="FG16" i="19" s="1"/>
  <c r="FG17" i="19" s="1"/>
  <c r="FG18" i="19" s="1"/>
  <c r="FG19" i="19" s="1"/>
  <c r="FG20" i="19" s="1"/>
  <c r="FG21" i="19" s="1"/>
  <c r="FG22" i="19" s="1"/>
  <c r="FG23" i="19" s="1"/>
  <c r="FG24" i="19" s="1"/>
  <c r="FG25" i="19" s="1"/>
  <c r="FG26" i="19" s="1"/>
  <c r="FG27" i="19" s="1"/>
  <c r="FG28" i="19" s="1"/>
  <c r="FG29" i="19" s="1"/>
  <c r="FG30" i="19" s="1"/>
  <c r="FG31" i="19" s="1"/>
  <c r="FG32" i="19" s="1"/>
  <c r="FG33" i="19" s="1"/>
  <c r="FG34" i="19" s="1"/>
  <c r="FG35" i="19" s="1"/>
  <c r="FG36" i="19" s="1"/>
  <c r="EZ8" i="19"/>
  <c r="EV8" i="19"/>
  <c r="EM8" i="19"/>
  <c r="EI8" i="19"/>
  <c r="CT8" i="19"/>
  <c r="CP8" i="19"/>
  <c r="CB8" i="19"/>
  <c r="BY8" i="19"/>
  <c r="BV8" i="19"/>
  <c r="BR8" i="19"/>
  <c r="BN8" i="19"/>
  <c r="BJ8" i="19"/>
  <c r="BF8" i="19"/>
  <c r="BB8" i="19"/>
  <c r="AX8" i="19"/>
  <c r="AF8" i="19"/>
  <c r="AF9" i="19" s="1"/>
  <c r="AF10" i="19" s="1"/>
  <c r="AF11" i="19" s="1"/>
  <c r="AF12" i="19" s="1"/>
  <c r="AF13" i="19" s="1"/>
  <c r="AF14" i="19" s="1"/>
  <c r="AF15" i="19" s="1"/>
  <c r="AF16" i="19" s="1"/>
  <c r="AF17" i="19" s="1"/>
  <c r="AF18" i="19" s="1"/>
  <c r="AF19" i="19" s="1"/>
  <c r="AF20" i="19" s="1"/>
  <c r="AF21" i="19" s="1"/>
  <c r="N8" i="19"/>
  <c r="H8" i="19"/>
  <c r="F8" i="19"/>
  <c r="NI7" i="19"/>
  <c r="MR7" i="19"/>
  <c r="MR8" i="19" s="1"/>
  <c r="MR9" i="19" s="1"/>
  <c r="MR10" i="19" s="1"/>
  <c r="MR11" i="19" s="1"/>
  <c r="MR12" i="19" s="1"/>
  <c r="MR13" i="19" s="1"/>
  <c r="LE7" i="19"/>
  <c r="LE8" i="19" s="1"/>
  <c r="LE9" i="19" s="1"/>
  <c r="LE10" i="19" s="1"/>
  <c r="LE11" i="19" s="1"/>
  <c r="LE12" i="19" s="1"/>
  <c r="LE13" i="19" s="1"/>
  <c r="LE14" i="19" s="1"/>
  <c r="LE15" i="19" s="1"/>
  <c r="LE16" i="19" s="1"/>
  <c r="LE17" i="19" s="1"/>
  <c r="LE18" i="19" s="1"/>
  <c r="LE19" i="19" s="1"/>
  <c r="LE20" i="19" s="1"/>
  <c r="LE21" i="19" s="1"/>
  <c r="LE22" i="19" s="1"/>
  <c r="LE23" i="19" s="1"/>
  <c r="LE24" i="19" s="1"/>
  <c r="LE25" i="19" s="1"/>
  <c r="LE26" i="19" s="1"/>
  <c r="LE27" i="19" s="1"/>
  <c r="LE28" i="19" s="1"/>
  <c r="KX7" i="19"/>
  <c r="KV7" i="19"/>
  <c r="KT7" i="19"/>
  <c r="KP7" i="19"/>
  <c r="KE7" i="19"/>
  <c r="KC7" i="19"/>
  <c r="KD7" i="19" s="1"/>
  <c r="KG7" i="19" s="1"/>
  <c r="LG8" i="19" s="1"/>
  <c r="LP8" i="19" s="1"/>
  <c r="JU7" i="19"/>
  <c r="MI7" i="19" s="1"/>
  <c r="IV7" i="19"/>
  <c r="MF7" i="19" s="1"/>
  <c r="ML7" i="19" s="1"/>
  <c r="ID7" i="19"/>
  <c r="IC7" i="19"/>
  <c r="JC7" i="19" s="1"/>
  <c r="JJ7" i="19" s="1"/>
  <c r="LN8" i="19" s="1"/>
  <c r="HR7" i="19"/>
  <c r="HN7" i="19"/>
  <c r="HA7" i="19"/>
  <c r="GR7" i="19"/>
  <c r="GN7" i="19"/>
  <c r="GE7" i="19"/>
  <c r="FM7" i="19"/>
  <c r="EZ7" i="19"/>
  <c r="EV7" i="19"/>
  <c r="EM7" i="19"/>
  <c r="EI7" i="19"/>
  <c r="CT7" i="19"/>
  <c r="CP7" i="19"/>
  <c r="CB7" i="19"/>
  <c r="BY7" i="19"/>
  <c r="BV7" i="19"/>
  <c r="BR7" i="19"/>
  <c r="BN7" i="19"/>
  <c r="BJ7" i="19"/>
  <c r="BF7" i="19"/>
  <c r="BB7" i="19"/>
  <c r="AX7" i="19"/>
  <c r="AJ7" i="19"/>
  <c r="AJ8" i="19" s="1"/>
  <c r="AI7" i="19"/>
  <c r="AI8" i="19" s="1"/>
  <c r="AH7" i="19"/>
  <c r="AH8" i="19" s="1"/>
  <c r="AA7" i="19"/>
  <c r="AA8" i="19" s="1"/>
  <c r="V7" i="19"/>
  <c r="V8" i="19" s="1"/>
  <c r="V10" i="19" s="1"/>
  <c r="V11" i="19" s="1"/>
  <c r="V12" i="19" s="1"/>
  <c r="V14" i="19" s="1"/>
  <c r="V15" i="19" s="1"/>
  <c r="V16" i="19" s="1"/>
  <c r="V18" i="19" s="1"/>
  <c r="V19" i="19" s="1"/>
  <c r="V20" i="19" s="1"/>
  <c r="N7" i="19"/>
  <c r="B7" i="19"/>
  <c r="B8" i="19" s="1"/>
  <c r="B9" i="19" s="1"/>
  <c r="B10" i="19" s="1"/>
  <c r="B11" i="19" s="1"/>
  <c r="B12" i="19" s="1"/>
  <c r="B13" i="19" s="1"/>
  <c r="B14" i="19" s="1"/>
  <c r="B15" i="19" s="1"/>
  <c r="B16" i="19" s="1"/>
  <c r="B17" i="19" s="1"/>
  <c r="B18" i="19" s="1"/>
  <c r="B19" i="19" s="1"/>
  <c r="B20" i="19" s="1"/>
  <c r="B21" i="19" s="1"/>
  <c r="B22" i="19" s="1"/>
  <c r="B24" i="19" s="1"/>
  <c r="B25" i="19" s="1"/>
  <c r="KX6" i="19"/>
  <c r="KV6" i="19"/>
  <c r="KT6" i="19"/>
  <c r="KP6" i="19"/>
  <c r="KE6" i="19"/>
  <c r="KC6" i="19"/>
  <c r="KD6" i="19" s="1"/>
  <c r="JU6" i="19"/>
  <c r="MI6" i="19" s="1"/>
  <c r="IV6" i="19"/>
  <c r="MF6" i="19" s="1"/>
  <c r="ID6" i="19"/>
  <c r="IC6" i="19"/>
  <c r="JC6" i="19" s="1"/>
  <c r="JJ6" i="19" s="1"/>
  <c r="HR6" i="19"/>
  <c r="HN6" i="19"/>
  <c r="HE6" i="19"/>
  <c r="HA6" i="19"/>
  <c r="GR6" i="19"/>
  <c r="GR12" i="19" s="1"/>
  <c r="HE13" i="19" s="1"/>
  <c r="GN6" i="19"/>
  <c r="GN12" i="19" s="1"/>
  <c r="GE6" i="19"/>
  <c r="EZ6" i="19"/>
  <c r="EV6" i="19"/>
  <c r="EV9" i="19" s="1"/>
  <c r="F19" i="19" s="1"/>
  <c r="G19" i="19" s="1"/>
  <c r="EM6" i="19"/>
  <c r="EM9" i="19" s="1"/>
  <c r="H18" i="19" s="1"/>
  <c r="EI6" i="19"/>
  <c r="EI9" i="19" s="1"/>
  <c r="F18" i="19" s="1"/>
  <c r="DV6" i="19"/>
  <c r="CT6" i="19"/>
  <c r="CT9" i="19" s="1"/>
  <c r="H14" i="19" s="1"/>
  <c r="CP6" i="19"/>
  <c r="CP9" i="19" s="1"/>
  <c r="F14" i="19" s="1"/>
  <c r="KO5" i="19"/>
  <c r="LL4" i="19"/>
  <c r="LN4" i="19" s="1"/>
  <c r="KV4" i="19"/>
  <c r="KQ4" i="19"/>
  <c r="KP4" i="19"/>
  <c r="JE4" i="19"/>
  <c r="IM4" i="19"/>
  <c r="FP4" i="19"/>
  <c r="FN4" i="19"/>
  <c r="AJ4" i="19"/>
  <c r="AI4" i="19"/>
  <c r="AH4" i="19"/>
  <c r="CQ3" i="19"/>
  <c r="DB3" i="19" s="1"/>
  <c r="CM3" i="19"/>
  <c r="CZ3" i="19" s="1"/>
  <c r="GZ32" i="18"/>
  <c r="HA32" i="18" s="1"/>
  <c r="HB32" i="18" s="1"/>
  <c r="HC32" i="18" s="1"/>
  <c r="HD32" i="18" s="1"/>
  <c r="GK31" i="18"/>
  <c r="GL31" i="18" s="1"/>
  <c r="GM31" i="18" s="1"/>
  <c r="GN31" i="18" s="1"/>
  <c r="GO31" i="18" s="1"/>
  <c r="GP31" i="18" s="1"/>
  <c r="GQ31" i="18" s="1"/>
  <c r="GR31" i="18" s="1"/>
  <c r="GA31" i="18"/>
  <c r="GB31" i="18" s="1"/>
  <c r="GC31" i="18" s="1"/>
  <c r="FV31" i="18"/>
  <c r="FW31" i="18" s="1"/>
  <c r="FX31" i="18" s="1"/>
  <c r="FY31" i="18" s="1"/>
  <c r="AT31" i="18"/>
  <c r="AU31" i="18" s="1"/>
  <c r="AV31" i="18" s="1"/>
  <c r="AW31" i="18" s="1"/>
  <c r="AX31" i="18" s="1"/>
  <c r="AY31" i="18" s="1"/>
  <c r="BA31" i="18" s="1"/>
  <c r="HC30" i="18"/>
  <c r="Z30" i="18"/>
  <c r="FM31" i="18" s="1"/>
  <c r="FN31" i="18" s="1"/>
  <c r="HD28" i="18"/>
  <c r="FL28" i="18"/>
  <c r="AT28" i="18"/>
  <c r="M28" i="18"/>
  <c r="JV27" i="18"/>
  <c r="JJ27" i="18"/>
  <c r="IW27" i="18"/>
  <c r="IT27" i="18"/>
  <c r="HT27" i="18"/>
  <c r="HA27" i="18"/>
  <c r="HB27" i="18" s="1"/>
  <c r="GR27" i="18"/>
  <c r="GH27" i="18"/>
  <c r="FJ27" i="18"/>
  <c r="EO27" i="18"/>
  <c r="DX27" i="18"/>
  <c r="DI27" i="18"/>
  <c r="CJ27" i="18"/>
  <c r="BM27" i="18"/>
  <c r="AU27" i="18"/>
  <c r="AR27" i="18"/>
  <c r="AT27" i="18" s="1"/>
  <c r="W27" i="18"/>
  <c r="P27" i="18"/>
  <c r="N27" i="18"/>
  <c r="JW26" i="18"/>
  <c r="JJ26" i="18"/>
  <c r="IT26" i="18"/>
  <c r="HT26" i="18"/>
  <c r="HA26" i="18"/>
  <c r="GR26" i="18"/>
  <c r="GH26" i="18"/>
  <c r="FJ26" i="18"/>
  <c r="EO26" i="18"/>
  <c r="DX26" i="18"/>
  <c r="DI26" i="18"/>
  <c r="CJ26" i="18"/>
  <c r="BM26" i="18"/>
  <c r="AU26" i="18"/>
  <c r="AR26" i="18"/>
  <c r="AT26" i="18" s="1"/>
  <c r="W26" i="18"/>
  <c r="P26" i="18"/>
  <c r="N26" i="18"/>
  <c r="JW25" i="18"/>
  <c r="JJ25" i="18"/>
  <c r="IT25" i="18"/>
  <c r="HT25" i="18"/>
  <c r="HA25" i="18"/>
  <c r="GR25" i="18"/>
  <c r="GH25" i="18"/>
  <c r="FJ25" i="18"/>
  <c r="EO25" i="18"/>
  <c r="DX25" i="18"/>
  <c r="DI25" i="18"/>
  <c r="CJ25" i="18"/>
  <c r="BM25" i="18"/>
  <c r="AU25" i="18"/>
  <c r="AR25" i="18"/>
  <c r="AT25" i="18" s="1"/>
  <c r="W25" i="18"/>
  <c r="P25" i="18"/>
  <c r="N25" i="18"/>
  <c r="JW24" i="18"/>
  <c r="JJ24" i="18"/>
  <c r="IT24" i="18"/>
  <c r="IW24" i="18" s="1"/>
  <c r="HT24" i="18"/>
  <c r="HA24" i="18"/>
  <c r="HB24" i="18" s="1"/>
  <c r="GR24" i="18"/>
  <c r="GH24" i="18"/>
  <c r="FJ24" i="18"/>
  <c r="EO24" i="18"/>
  <c r="DX24" i="18"/>
  <c r="DI24" i="18"/>
  <c r="CJ24" i="18"/>
  <c r="BM24" i="18"/>
  <c r="AU24" i="18"/>
  <c r="AR24" i="18"/>
  <c r="AT24" i="18" s="1"/>
  <c r="W24" i="18"/>
  <c r="P24" i="18"/>
  <c r="N24" i="18"/>
  <c r="JW23" i="18"/>
  <c r="JJ23" i="18"/>
  <c r="IT23" i="18"/>
  <c r="IW23" i="18" s="1"/>
  <c r="HT23" i="18"/>
  <c r="HA23" i="18"/>
  <c r="HB23" i="18" s="1"/>
  <c r="GR23" i="18"/>
  <c r="GH23" i="18"/>
  <c r="FJ23" i="18"/>
  <c r="EO23" i="18"/>
  <c r="DX23" i="18"/>
  <c r="DI23" i="18"/>
  <c r="CJ23" i="18"/>
  <c r="BM23" i="18"/>
  <c r="AU23" i="18"/>
  <c r="AR23" i="18"/>
  <c r="AT23" i="18" s="1"/>
  <c r="W23" i="18"/>
  <c r="P23" i="18"/>
  <c r="N23" i="18"/>
  <c r="CL23" i="18" s="1"/>
  <c r="JW22" i="18"/>
  <c r="JJ22" i="18"/>
  <c r="IT22" i="18"/>
  <c r="HT22" i="18"/>
  <c r="HA22" i="18"/>
  <c r="GR22" i="18"/>
  <c r="GH22" i="18"/>
  <c r="FJ22" i="18"/>
  <c r="EO22" i="18"/>
  <c r="DX22" i="18"/>
  <c r="DI22" i="18"/>
  <c r="CJ22" i="18"/>
  <c r="BM22" i="18"/>
  <c r="AU22" i="18"/>
  <c r="AR22" i="18"/>
  <c r="AT22" i="18" s="1"/>
  <c r="W22" i="18"/>
  <c r="P22" i="18"/>
  <c r="N22" i="18"/>
  <c r="JW21" i="18"/>
  <c r="JJ21" i="18"/>
  <c r="IT21" i="18"/>
  <c r="HT21" i="18"/>
  <c r="HA21" i="18"/>
  <c r="GR21" i="18"/>
  <c r="GH21" i="18"/>
  <c r="FJ21" i="18"/>
  <c r="EO21" i="18"/>
  <c r="DX21" i="18"/>
  <c r="DI21" i="18"/>
  <c r="CJ21" i="18"/>
  <c r="BM21" i="18"/>
  <c r="AU21" i="18"/>
  <c r="AR21" i="18"/>
  <c r="AT21" i="18" s="1"/>
  <c r="W21" i="18"/>
  <c r="P21" i="18"/>
  <c r="N21" i="18"/>
  <c r="JW20" i="18"/>
  <c r="JJ20" i="18"/>
  <c r="IT20" i="18"/>
  <c r="HT20" i="18"/>
  <c r="HA20" i="18"/>
  <c r="GR20" i="18"/>
  <c r="GH20" i="18"/>
  <c r="FJ20" i="18"/>
  <c r="EO20" i="18"/>
  <c r="DX20" i="18"/>
  <c r="DI20" i="18"/>
  <c r="CJ20" i="18"/>
  <c r="BM20" i="18"/>
  <c r="AU20" i="18"/>
  <c r="AR20" i="18"/>
  <c r="AT20" i="18" s="1"/>
  <c r="W20" i="18"/>
  <c r="P20" i="18"/>
  <c r="JW19" i="18"/>
  <c r="JJ19" i="18"/>
  <c r="IT19" i="18"/>
  <c r="HT19" i="18"/>
  <c r="HA19" i="18"/>
  <c r="GR19" i="18"/>
  <c r="GH19" i="18"/>
  <c r="FJ19" i="18"/>
  <c r="EO19" i="18"/>
  <c r="DX19" i="18"/>
  <c r="DI19" i="18"/>
  <c r="CJ19" i="18"/>
  <c r="BM19" i="18"/>
  <c r="AU19" i="18"/>
  <c r="AR19" i="18"/>
  <c r="AT19" i="18" s="1"/>
  <c r="W19" i="18"/>
  <c r="P19" i="18"/>
  <c r="N19" i="18"/>
  <c r="JW18" i="18"/>
  <c r="JJ18" i="18"/>
  <c r="IT18" i="18"/>
  <c r="HT18" i="18"/>
  <c r="HA18" i="18"/>
  <c r="GR18" i="18"/>
  <c r="GH18" i="18"/>
  <c r="FJ18" i="18"/>
  <c r="EO18" i="18"/>
  <c r="DX18" i="18"/>
  <c r="DI18" i="18"/>
  <c r="CJ18" i="18"/>
  <c r="BM18" i="18"/>
  <c r="AU18" i="18"/>
  <c r="AR18" i="18"/>
  <c r="AT18" i="18" s="1"/>
  <c r="W18" i="18"/>
  <c r="P18" i="18"/>
  <c r="N18" i="18"/>
  <c r="JW17" i="18"/>
  <c r="JJ17" i="18"/>
  <c r="IT17" i="18"/>
  <c r="IW17" i="18" s="1"/>
  <c r="HT17" i="18"/>
  <c r="HA17" i="18"/>
  <c r="GR17" i="18"/>
  <c r="GH17" i="18"/>
  <c r="FJ17" i="18"/>
  <c r="EO17" i="18"/>
  <c r="DX17" i="18"/>
  <c r="DI17" i="18"/>
  <c r="CJ17" i="18"/>
  <c r="BM17" i="18"/>
  <c r="AU17" i="18"/>
  <c r="AR17" i="18"/>
  <c r="AT17" i="18" s="1"/>
  <c r="W17" i="18"/>
  <c r="P17" i="18"/>
  <c r="N17" i="18"/>
  <c r="JW16" i="18"/>
  <c r="JJ16" i="18"/>
  <c r="IT16" i="18"/>
  <c r="HT16" i="18"/>
  <c r="HA16" i="18"/>
  <c r="GR16" i="18"/>
  <c r="GH16" i="18"/>
  <c r="FJ16" i="18"/>
  <c r="EO16" i="18"/>
  <c r="DX16" i="18"/>
  <c r="DI16" i="18"/>
  <c r="CJ16" i="18"/>
  <c r="BM16" i="18"/>
  <c r="AU16" i="18"/>
  <c r="AR16" i="18"/>
  <c r="AT16" i="18" s="1"/>
  <c r="W16" i="18"/>
  <c r="P16" i="18"/>
  <c r="N16" i="18"/>
  <c r="JW15" i="18"/>
  <c r="JJ15" i="18"/>
  <c r="IT15" i="18"/>
  <c r="IW15" i="18" s="1"/>
  <c r="HT15" i="18"/>
  <c r="HA15" i="18"/>
  <c r="GR15" i="18"/>
  <c r="GH15" i="18"/>
  <c r="FJ15" i="18"/>
  <c r="EO15" i="18"/>
  <c r="DX15" i="18"/>
  <c r="DI15" i="18"/>
  <c r="CJ15" i="18"/>
  <c r="BM15" i="18"/>
  <c r="AU15" i="18"/>
  <c r="AR15" i="18"/>
  <c r="AT15" i="18" s="1"/>
  <c r="W15" i="18"/>
  <c r="P15" i="18"/>
  <c r="N15" i="18"/>
  <c r="JW14" i="18"/>
  <c r="JJ14" i="18"/>
  <c r="IT14" i="18"/>
  <c r="HT14" i="18"/>
  <c r="HA14" i="18"/>
  <c r="GR14" i="18"/>
  <c r="GH14" i="18"/>
  <c r="FJ14" i="18"/>
  <c r="EO14" i="18"/>
  <c r="DX14" i="18"/>
  <c r="DI14" i="18"/>
  <c r="CJ14" i="18"/>
  <c r="BM14" i="18"/>
  <c r="AU14" i="18"/>
  <c r="AR14" i="18"/>
  <c r="AT14" i="18" s="1"/>
  <c r="W14" i="18"/>
  <c r="P14" i="18"/>
  <c r="N14" i="18"/>
  <c r="JW13" i="18"/>
  <c r="JJ13" i="18"/>
  <c r="IT13" i="18"/>
  <c r="HT13" i="18"/>
  <c r="HA13" i="18"/>
  <c r="GR13" i="18"/>
  <c r="GH13" i="18"/>
  <c r="FJ13" i="18"/>
  <c r="EO13" i="18"/>
  <c r="DX13" i="18"/>
  <c r="DI13" i="18"/>
  <c r="CJ13" i="18"/>
  <c r="BM13" i="18"/>
  <c r="AU13" i="18"/>
  <c r="AR13" i="18"/>
  <c r="AT13" i="18" s="1"/>
  <c r="W13" i="18"/>
  <c r="P13" i="18"/>
  <c r="N13" i="18"/>
  <c r="CL13" i="18" s="1"/>
  <c r="JW12" i="18"/>
  <c r="JJ12" i="18"/>
  <c r="JW11" i="18" s="1"/>
  <c r="IT12" i="18"/>
  <c r="HT12" i="18"/>
  <c r="HA12" i="18"/>
  <c r="GR12" i="18"/>
  <c r="GH12" i="18"/>
  <c r="FJ12" i="18"/>
  <c r="EO12" i="18"/>
  <c r="DX12" i="18"/>
  <c r="DI12" i="18"/>
  <c r="CJ12" i="18"/>
  <c r="BM12" i="18"/>
  <c r="AU12" i="18"/>
  <c r="AR12" i="18"/>
  <c r="AT12" i="18" s="1"/>
  <c r="W12" i="18"/>
  <c r="P12" i="18"/>
  <c r="JJ11" i="18"/>
  <c r="IT11" i="18"/>
  <c r="HT11" i="18"/>
  <c r="HA11" i="18"/>
  <c r="GR11" i="18"/>
  <c r="GH11" i="18"/>
  <c r="FJ11" i="18"/>
  <c r="EO11" i="18"/>
  <c r="DX11" i="18"/>
  <c r="DI11" i="18"/>
  <c r="CJ11" i="18"/>
  <c r="BM11" i="18"/>
  <c r="AU11" i="18"/>
  <c r="AR11" i="18"/>
  <c r="AT11" i="18" s="1"/>
  <c r="W11" i="18"/>
  <c r="P11" i="18"/>
  <c r="N11" i="18"/>
  <c r="JW10" i="18"/>
  <c r="JJ10" i="18"/>
  <c r="IT10" i="18"/>
  <c r="HT10" i="18"/>
  <c r="HA10" i="18"/>
  <c r="GR10" i="18"/>
  <c r="GH10" i="18"/>
  <c r="FJ10" i="18"/>
  <c r="EO10" i="18"/>
  <c r="DX10" i="18"/>
  <c r="DI10" i="18"/>
  <c r="CJ10" i="18"/>
  <c r="BM10" i="18"/>
  <c r="AU10" i="18"/>
  <c r="AR10" i="18"/>
  <c r="AT10" i="18" s="1"/>
  <c r="W10" i="18"/>
  <c r="P10" i="18"/>
  <c r="N10" i="18"/>
  <c r="JW9" i="18"/>
  <c r="JJ9" i="18"/>
  <c r="IT9" i="18"/>
  <c r="HT9" i="18"/>
  <c r="HA9" i="18"/>
  <c r="GR9" i="18"/>
  <c r="GH9" i="18"/>
  <c r="FJ9" i="18"/>
  <c r="EO9" i="18"/>
  <c r="DX9" i="18"/>
  <c r="DI9" i="18"/>
  <c r="CJ9" i="18"/>
  <c r="BZ9" i="18"/>
  <c r="BM9" i="18"/>
  <c r="AU9" i="18"/>
  <c r="AR9" i="18"/>
  <c r="AT9" i="18" s="1"/>
  <c r="W9" i="18"/>
  <c r="P9" i="18"/>
  <c r="N9" i="18"/>
  <c r="JW8" i="18"/>
  <c r="JK8" i="18"/>
  <c r="JJ8" i="18"/>
  <c r="JA8" i="18"/>
  <c r="JB8" i="18" s="1"/>
  <c r="IU8" i="18"/>
  <c r="IT8" i="18"/>
  <c r="IW8" i="18" s="1"/>
  <c r="HU8" i="18"/>
  <c r="HT8" i="18"/>
  <c r="IL4" i="18" s="1"/>
  <c r="HA8" i="18"/>
  <c r="HC8" i="18" s="1"/>
  <c r="GR8" i="18"/>
  <c r="GH8" i="18"/>
  <c r="FJ8" i="18"/>
  <c r="EO8" i="18"/>
  <c r="DX8" i="18"/>
  <c r="DI8" i="18"/>
  <c r="CJ8" i="18"/>
  <c r="CA8" i="18"/>
  <c r="BM8" i="18"/>
  <c r="AU8" i="18"/>
  <c r="AR8" i="18"/>
  <c r="AT8" i="18" s="1"/>
  <c r="W8" i="18"/>
  <c r="P8" i="18"/>
  <c r="N8" i="18"/>
  <c r="JW7" i="18"/>
  <c r="JU7" i="18"/>
  <c r="JJ7" i="18"/>
  <c r="IT7" i="18"/>
  <c r="HT7" i="18"/>
  <c r="HA7" i="18"/>
  <c r="GR7" i="18"/>
  <c r="GH7" i="18"/>
  <c r="FJ7" i="18"/>
  <c r="EO7" i="18"/>
  <c r="EH7" i="18"/>
  <c r="DX7" i="18"/>
  <c r="DI7" i="18"/>
  <c r="CJ7" i="18"/>
  <c r="CA7" i="18"/>
  <c r="BM7" i="18"/>
  <c r="AU7" i="18"/>
  <c r="AR7" i="18"/>
  <c r="AT7" i="18" s="1"/>
  <c r="AV7" i="18" s="1"/>
  <c r="W7" i="18"/>
  <c r="P7" i="18"/>
  <c r="N7" i="18"/>
  <c r="JW6" i="18"/>
  <c r="JJ6" i="18"/>
  <c r="IT6" i="18"/>
  <c r="HT6" i="18"/>
  <c r="HA6" i="18"/>
  <c r="GR6" i="18"/>
  <c r="GH6" i="18"/>
  <c r="FJ6" i="18"/>
  <c r="EO6" i="18"/>
  <c r="EI6" i="18"/>
  <c r="DX6" i="18"/>
  <c r="DI6" i="18"/>
  <c r="CJ6" i="18"/>
  <c r="CA6" i="18"/>
  <c r="BM6" i="18"/>
  <c r="BG6" i="18"/>
  <c r="AU6" i="18"/>
  <c r="AR6" i="18"/>
  <c r="AQ6" i="18"/>
  <c r="AQ7" i="18" s="1"/>
  <c r="AQ8" i="18" s="1"/>
  <c r="AQ9" i="18" s="1"/>
  <c r="AQ10" i="18" s="1"/>
  <c r="AQ11" i="18" s="1"/>
  <c r="AQ12" i="18" s="1"/>
  <c r="AQ13" i="18" s="1"/>
  <c r="AQ14" i="18" s="1"/>
  <c r="AQ15" i="18" s="1"/>
  <c r="AQ16" i="18" s="1"/>
  <c r="AQ17" i="18" s="1"/>
  <c r="AQ18" i="18" s="1"/>
  <c r="AQ19" i="18" s="1"/>
  <c r="AQ20" i="18" s="1"/>
  <c r="AQ21" i="18" s="1"/>
  <c r="AQ22" i="18" s="1"/>
  <c r="AQ23" i="18" s="1"/>
  <c r="AQ24" i="18" s="1"/>
  <c r="AQ25" i="18" s="1"/>
  <c r="AQ26" i="18" s="1"/>
  <c r="AQ27" i="18" s="1"/>
  <c r="AQ28" i="18" s="1"/>
  <c r="W6" i="18"/>
  <c r="V6" i="18"/>
  <c r="V7" i="18" s="1"/>
  <c r="V8" i="18" s="1"/>
  <c r="V9" i="18" s="1"/>
  <c r="V10" i="18" s="1"/>
  <c r="V11" i="18" s="1"/>
  <c r="V12" i="18" s="1"/>
  <c r="V13" i="18" s="1"/>
  <c r="V14" i="18" s="1"/>
  <c r="V15" i="18" s="1"/>
  <c r="V16" i="18" s="1"/>
  <c r="V17" i="18" s="1"/>
  <c r="V18" i="18" s="1"/>
  <c r="V19" i="18" s="1"/>
  <c r="V20" i="18" s="1"/>
  <c r="V21" i="18" s="1"/>
  <c r="V22" i="18" s="1"/>
  <c r="V23" i="18" s="1"/>
  <c r="V24" i="18" s="1"/>
  <c r="V25" i="18" s="1"/>
  <c r="V26" i="18" s="1"/>
  <c r="V27" i="18" s="1"/>
  <c r="V28" i="18" s="1"/>
  <c r="P6" i="18"/>
  <c r="N6" i="18"/>
  <c r="JW5" i="18"/>
  <c r="JJ5" i="18"/>
  <c r="JW4" i="18" s="1"/>
  <c r="IT5" i="18"/>
  <c r="HT5" i="18"/>
  <c r="HK5" i="18"/>
  <c r="HA5" i="18"/>
  <c r="GV5" i="18"/>
  <c r="GV6" i="18" s="1"/>
  <c r="GV7" i="18" s="1"/>
  <c r="GV8" i="18" s="1"/>
  <c r="GV9" i="18" s="1"/>
  <c r="GV10" i="18" s="1"/>
  <c r="GV11" i="18" s="1"/>
  <c r="GV12" i="18" s="1"/>
  <c r="GV13" i="18" s="1"/>
  <c r="GV14" i="18" s="1"/>
  <c r="GV15" i="18" s="1"/>
  <c r="GV16" i="18" s="1"/>
  <c r="GV17" i="18" s="1"/>
  <c r="GV18" i="18" s="1"/>
  <c r="GV19" i="18" s="1"/>
  <c r="GV20" i="18" s="1"/>
  <c r="GV21" i="18" s="1"/>
  <c r="GV22" i="18" s="1"/>
  <c r="GV23" i="18" s="1"/>
  <c r="GV24" i="18" s="1"/>
  <c r="GV25" i="18" s="1"/>
  <c r="GV26" i="18" s="1"/>
  <c r="GV27" i="18" s="1"/>
  <c r="GR5" i="18"/>
  <c r="GH5" i="18"/>
  <c r="GG5" i="18"/>
  <c r="GG6" i="18" s="1"/>
  <c r="GG7" i="18" s="1"/>
  <c r="GG8" i="18" s="1"/>
  <c r="GG9" i="18" s="1"/>
  <c r="GG10" i="18" s="1"/>
  <c r="GG11" i="18" s="1"/>
  <c r="GG12" i="18" s="1"/>
  <c r="GG13" i="18" s="1"/>
  <c r="GG14" i="18" s="1"/>
  <c r="GG15" i="18" s="1"/>
  <c r="GG16" i="18" s="1"/>
  <c r="GG17" i="18" s="1"/>
  <c r="GG18" i="18" s="1"/>
  <c r="GG19" i="18" s="1"/>
  <c r="GG20" i="18" s="1"/>
  <c r="GG21" i="18" s="1"/>
  <c r="GG22" i="18" s="1"/>
  <c r="GG23" i="18" s="1"/>
  <c r="GG24" i="18" s="1"/>
  <c r="GG25" i="18" s="1"/>
  <c r="GG26" i="18" s="1"/>
  <c r="GG27" i="18" s="1"/>
  <c r="FR5" i="18"/>
  <c r="FR6" i="18" s="1"/>
  <c r="FR7" i="18" s="1"/>
  <c r="FR8" i="18" s="1"/>
  <c r="FR9" i="18" s="1"/>
  <c r="FR10" i="18" s="1"/>
  <c r="FR11" i="18" s="1"/>
  <c r="FR12" i="18" s="1"/>
  <c r="FR13" i="18" s="1"/>
  <c r="FR14" i="18" s="1"/>
  <c r="FR15" i="18" s="1"/>
  <c r="FR16" i="18" s="1"/>
  <c r="FR17" i="18" s="1"/>
  <c r="FR18" i="18" s="1"/>
  <c r="FR19" i="18" s="1"/>
  <c r="FR20" i="18" s="1"/>
  <c r="FR21" i="18" s="1"/>
  <c r="FR22" i="18" s="1"/>
  <c r="FR23" i="18" s="1"/>
  <c r="FR24" i="18" s="1"/>
  <c r="FR25" i="18" s="1"/>
  <c r="FR26" i="18" s="1"/>
  <c r="FR27" i="18" s="1"/>
  <c r="FR28" i="18" s="1"/>
  <c r="FJ5" i="18"/>
  <c r="FI5" i="18"/>
  <c r="FI6" i="18" s="1"/>
  <c r="FI7" i="18" s="1"/>
  <c r="FI8" i="18" s="1"/>
  <c r="FI9" i="18" s="1"/>
  <c r="FI10" i="18" s="1"/>
  <c r="FI11" i="18" s="1"/>
  <c r="FI12" i="18" s="1"/>
  <c r="FI13" i="18" s="1"/>
  <c r="FI14" i="18" s="1"/>
  <c r="FI15" i="18" s="1"/>
  <c r="FI16" i="18" s="1"/>
  <c r="FI17" i="18" s="1"/>
  <c r="FI18" i="18" s="1"/>
  <c r="FI19" i="18" s="1"/>
  <c r="FI20" i="18" s="1"/>
  <c r="FI21" i="18" s="1"/>
  <c r="FI22" i="18" s="1"/>
  <c r="FI23" i="18" s="1"/>
  <c r="FI24" i="18" s="1"/>
  <c r="FI25" i="18" s="1"/>
  <c r="FI26" i="18" s="1"/>
  <c r="FI27" i="18" s="1"/>
  <c r="FI28" i="18" s="1"/>
  <c r="FE5" i="18"/>
  <c r="EO5" i="18"/>
  <c r="EN5" i="18"/>
  <c r="EN6" i="18" s="1"/>
  <c r="EN7" i="18" s="1"/>
  <c r="EN8" i="18" s="1"/>
  <c r="EN9" i="18" s="1"/>
  <c r="EN10" i="18" s="1"/>
  <c r="EN11" i="18" s="1"/>
  <c r="EN12" i="18" s="1"/>
  <c r="EN13" i="18" s="1"/>
  <c r="EN14" i="18" s="1"/>
  <c r="EN15" i="18" s="1"/>
  <c r="EN16" i="18" s="1"/>
  <c r="EN17" i="18" s="1"/>
  <c r="EN18" i="18" s="1"/>
  <c r="EN19" i="18" s="1"/>
  <c r="EN20" i="18" s="1"/>
  <c r="EN21" i="18" s="1"/>
  <c r="EN22" i="18" s="1"/>
  <c r="EN23" i="18" s="1"/>
  <c r="EN24" i="18" s="1"/>
  <c r="EN25" i="18" s="1"/>
  <c r="EN26" i="18" s="1"/>
  <c r="EN27" i="18" s="1"/>
  <c r="EN28" i="18" s="1"/>
  <c r="EI5" i="18"/>
  <c r="DX5" i="18"/>
  <c r="DW5" i="18"/>
  <c r="DW6" i="18" s="1"/>
  <c r="DW7" i="18" s="1"/>
  <c r="DW8" i="18" s="1"/>
  <c r="DW9" i="18" s="1"/>
  <c r="DW10" i="18" s="1"/>
  <c r="DW11" i="18" s="1"/>
  <c r="DW12" i="18" s="1"/>
  <c r="DW13" i="18" s="1"/>
  <c r="DW14" i="18" s="1"/>
  <c r="DW15" i="18" s="1"/>
  <c r="DW16" i="18" s="1"/>
  <c r="DW17" i="18" s="1"/>
  <c r="DW18" i="18" s="1"/>
  <c r="DW19" i="18" s="1"/>
  <c r="DW20" i="18" s="1"/>
  <c r="DW21" i="18" s="1"/>
  <c r="DW22" i="18" s="1"/>
  <c r="DW23" i="18" s="1"/>
  <c r="DW24" i="18" s="1"/>
  <c r="DW25" i="18" s="1"/>
  <c r="DW26" i="18" s="1"/>
  <c r="DW27" i="18" s="1"/>
  <c r="DW28" i="18" s="1"/>
  <c r="DI5" i="18"/>
  <c r="CJ5" i="18"/>
  <c r="CI5" i="18"/>
  <c r="CI6" i="18" s="1"/>
  <c r="CI7" i="18" s="1"/>
  <c r="CI8" i="18" s="1"/>
  <c r="CI9" i="18" s="1"/>
  <c r="CI10" i="18" s="1"/>
  <c r="CI11" i="18" s="1"/>
  <c r="CI12" i="18" s="1"/>
  <c r="CI13" i="18" s="1"/>
  <c r="CI14" i="18" s="1"/>
  <c r="CI15" i="18" s="1"/>
  <c r="CI16" i="18" s="1"/>
  <c r="CI17" i="18" s="1"/>
  <c r="CI18" i="18" s="1"/>
  <c r="CI19" i="18" s="1"/>
  <c r="CI20" i="18" s="1"/>
  <c r="CI21" i="18" s="1"/>
  <c r="CI22" i="18" s="1"/>
  <c r="CI23" i="18" s="1"/>
  <c r="CI24" i="18" s="1"/>
  <c r="CI25" i="18" s="1"/>
  <c r="CI26" i="18" s="1"/>
  <c r="CI27" i="18" s="1"/>
  <c r="CI28" i="18" s="1"/>
  <c r="CA5" i="18"/>
  <c r="BX5" i="18"/>
  <c r="BX6" i="18" s="1"/>
  <c r="BX7" i="18" s="1"/>
  <c r="BX8" i="18" s="1"/>
  <c r="BM5" i="18"/>
  <c r="BL5" i="18"/>
  <c r="BL6" i="18" s="1"/>
  <c r="BL7" i="18" s="1"/>
  <c r="BL8" i="18" s="1"/>
  <c r="BL9" i="18" s="1"/>
  <c r="BL10" i="18" s="1"/>
  <c r="BL11" i="18" s="1"/>
  <c r="BL12" i="18" s="1"/>
  <c r="BL13" i="18" s="1"/>
  <c r="BL14" i="18" s="1"/>
  <c r="BL15" i="18" s="1"/>
  <c r="BL16" i="18" s="1"/>
  <c r="BL17" i="18" s="1"/>
  <c r="BL18" i="18" s="1"/>
  <c r="BL19" i="18" s="1"/>
  <c r="BL20" i="18" s="1"/>
  <c r="BL21" i="18" s="1"/>
  <c r="BL22" i="18" s="1"/>
  <c r="BL23" i="18" s="1"/>
  <c r="BL24" i="18" s="1"/>
  <c r="BL25" i="18" s="1"/>
  <c r="BL26" i="18" s="1"/>
  <c r="BL27" i="18" s="1"/>
  <c r="BL28" i="18" s="1"/>
  <c r="AU5" i="18"/>
  <c r="AR5" i="18"/>
  <c r="AT5" i="18" s="1"/>
  <c r="AQ5" i="18"/>
  <c r="W5" i="18"/>
  <c r="V5" i="18"/>
  <c r="P5" i="18"/>
  <c r="JJ4" i="18"/>
  <c r="IT4" i="18"/>
  <c r="HT4" i="18"/>
  <c r="HK4" i="18"/>
  <c r="HA4" i="18"/>
  <c r="GR4" i="18"/>
  <c r="GR28" i="18" s="1"/>
  <c r="GH4" i="18"/>
  <c r="FJ4" i="18"/>
  <c r="EO4" i="18"/>
  <c r="DX4" i="18"/>
  <c r="DI4" i="18"/>
  <c r="CJ4" i="18"/>
  <c r="CA4" i="18"/>
  <c r="BM4" i="18"/>
  <c r="BF4" i="18"/>
  <c r="AU4" i="18"/>
  <c r="AR4" i="18"/>
  <c r="W4" i="18"/>
  <c r="P4" i="18"/>
  <c r="N4" i="18"/>
  <c r="JW3" i="18"/>
  <c r="JI2" i="18"/>
  <c r="HS2" i="18"/>
  <c r="FL2" i="18"/>
  <c r="DC2" i="18"/>
  <c r="DB2" i="18"/>
  <c r="DA2" i="18"/>
  <c r="BQ2" i="18"/>
  <c r="BO2" i="18"/>
  <c r="NI35" i="17"/>
  <c r="FL35" i="17"/>
  <c r="FK35" i="17"/>
  <c r="FJ35" i="17"/>
  <c r="FM35" i="17" s="1"/>
  <c r="NI34" i="17"/>
  <c r="FM34" i="17"/>
  <c r="FM33" i="17"/>
  <c r="NI32" i="17"/>
  <c r="NK31" i="17"/>
  <c r="NL31" i="17" s="1"/>
  <c r="NM31" i="17" s="1"/>
  <c r="NI31" i="17"/>
  <c r="FL31" i="17"/>
  <c r="FK31" i="17"/>
  <c r="FJ31" i="17"/>
  <c r="FM31" i="17" s="1"/>
  <c r="FM30" i="17"/>
  <c r="NC29" i="17"/>
  <c r="NB29" i="17"/>
  <c r="MZ29" i="17"/>
  <c r="FM29" i="17"/>
  <c r="FM28" i="17"/>
  <c r="NL27" i="17"/>
  <c r="NM27" i="17" s="1"/>
  <c r="NC27" i="17"/>
  <c r="FM27" i="17"/>
  <c r="NK26" i="17"/>
  <c r="NL26" i="17" s="1"/>
  <c r="NM26" i="17" s="1"/>
  <c r="NC26" i="17"/>
  <c r="KP26" i="17"/>
  <c r="KF26" i="17"/>
  <c r="JS26" i="17"/>
  <c r="JQ26" i="17"/>
  <c r="JO26" i="17"/>
  <c r="JM26" i="17"/>
  <c r="JL26" i="17"/>
  <c r="JK26" i="17"/>
  <c r="JI26" i="17"/>
  <c r="JG26" i="17"/>
  <c r="JE26" i="17"/>
  <c r="JU26" i="17" s="1"/>
  <c r="IU26" i="17"/>
  <c r="IU27" i="17" s="1"/>
  <c r="IT26" i="17"/>
  <c r="IS26" i="17"/>
  <c r="IS27" i="17" s="1"/>
  <c r="IR26" i="17"/>
  <c r="IQ26" i="17"/>
  <c r="IP26" i="17"/>
  <c r="IN26" i="17"/>
  <c r="IV26" i="17" s="1"/>
  <c r="IB26" i="17"/>
  <c r="IA26" i="17"/>
  <c r="HZ26" i="17"/>
  <c r="IC26" i="17" s="1"/>
  <c r="JC26" i="17" s="1"/>
  <c r="HY26" i="17"/>
  <c r="FM26" i="17"/>
  <c r="NI25" i="17"/>
  <c r="KY25" i="17"/>
  <c r="KX25" i="17"/>
  <c r="KW25" i="17"/>
  <c r="KV25" i="17"/>
  <c r="KU25" i="17"/>
  <c r="KT25" i="17"/>
  <c r="KP25" i="17"/>
  <c r="KE25" i="17"/>
  <c r="KC25" i="17"/>
  <c r="KD25" i="17" s="1"/>
  <c r="KG25" i="17" s="1"/>
  <c r="LG26" i="17" s="1"/>
  <c r="LP26" i="17" s="1"/>
  <c r="JU25" i="17"/>
  <c r="MI25" i="17" s="1"/>
  <c r="IV25" i="17"/>
  <c r="MF25" i="17" s="1"/>
  <c r="ML25" i="17" s="1"/>
  <c r="ID25" i="17"/>
  <c r="IC25" i="17"/>
  <c r="JC25" i="17" s="1"/>
  <c r="JJ25" i="17" s="1"/>
  <c r="LN26" i="17" s="1"/>
  <c r="H25" i="17"/>
  <c r="F25" i="17"/>
  <c r="NI24" i="17"/>
  <c r="KY24" i="17"/>
  <c r="KX24" i="17"/>
  <c r="KW24" i="17"/>
  <c r="KV24" i="17"/>
  <c r="KU24" i="17"/>
  <c r="KT24" i="17"/>
  <c r="KP24" i="17"/>
  <c r="KE24" i="17"/>
  <c r="KC24" i="17"/>
  <c r="KD24" i="17" s="1"/>
  <c r="KG24" i="17" s="1"/>
  <c r="LG25" i="17" s="1"/>
  <c r="LP25" i="17" s="1"/>
  <c r="JU24" i="17"/>
  <c r="MI24" i="17" s="1"/>
  <c r="IV24" i="17"/>
  <c r="MF24" i="17" s="1"/>
  <c r="ML24" i="17" s="1"/>
  <c r="ID24" i="17"/>
  <c r="IC24" i="17"/>
  <c r="JC24" i="17" s="1"/>
  <c r="JJ24" i="17" s="1"/>
  <c r="LN25" i="17" s="1"/>
  <c r="FL24" i="17"/>
  <c r="FK24" i="17"/>
  <c r="FJ24" i="17"/>
  <c r="FM24" i="17" s="1"/>
  <c r="N24" i="17"/>
  <c r="K24" i="17"/>
  <c r="L11" i="17" s="1"/>
  <c r="NK23" i="17"/>
  <c r="NL23" i="17" s="1"/>
  <c r="NM23" i="17" s="1"/>
  <c r="NI23" i="17"/>
  <c r="KY23" i="17"/>
  <c r="KX23" i="17"/>
  <c r="KW23" i="17"/>
  <c r="KV23" i="17"/>
  <c r="KU23" i="17"/>
  <c r="KT23" i="17"/>
  <c r="KP23" i="17"/>
  <c r="KE23" i="17"/>
  <c r="KC23" i="17"/>
  <c r="KD23" i="17" s="1"/>
  <c r="KG23" i="17" s="1"/>
  <c r="LG24" i="17" s="1"/>
  <c r="LP24" i="17" s="1"/>
  <c r="JU23" i="17"/>
  <c r="MI23" i="17" s="1"/>
  <c r="IV23" i="17"/>
  <c r="MF23" i="17" s="1"/>
  <c r="ML23" i="17" s="1"/>
  <c r="ID23" i="17"/>
  <c r="IC23" i="17"/>
  <c r="JC23" i="17" s="1"/>
  <c r="JJ23" i="17" s="1"/>
  <c r="LN24" i="17" s="1"/>
  <c r="FM23" i="17"/>
  <c r="CC23" i="17"/>
  <c r="CF23" i="17" s="1"/>
  <c r="CG23" i="17" s="1"/>
  <c r="KY22" i="17"/>
  <c r="KX22" i="17"/>
  <c r="KW22" i="17"/>
  <c r="KV22" i="17"/>
  <c r="KU22" i="17"/>
  <c r="KT22" i="17"/>
  <c r="KP22" i="17"/>
  <c r="KE22" i="17"/>
  <c r="KC22" i="17"/>
  <c r="KD22" i="17" s="1"/>
  <c r="KG22" i="17" s="1"/>
  <c r="LG23" i="17" s="1"/>
  <c r="LP23" i="17" s="1"/>
  <c r="JU22" i="17"/>
  <c r="MI22" i="17" s="1"/>
  <c r="IV22" i="17"/>
  <c r="MF22" i="17" s="1"/>
  <c r="ML22" i="17" s="1"/>
  <c r="ID22" i="17"/>
  <c r="IC22" i="17"/>
  <c r="JC22" i="17" s="1"/>
  <c r="JJ22" i="17" s="1"/>
  <c r="LN23" i="17" s="1"/>
  <c r="FM22" i="17"/>
  <c r="NI21" i="17"/>
  <c r="KY21" i="17"/>
  <c r="KX21" i="17"/>
  <c r="KW21" i="17"/>
  <c r="KV21" i="17"/>
  <c r="KU21" i="17"/>
  <c r="KT21" i="17"/>
  <c r="KP21" i="17"/>
  <c r="KE21" i="17"/>
  <c r="KC21" i="17"/>
  <c r="KD21" i="17" s="1"/>
  <c r="KG21" i="17" s="1"/>
  <c r="LG22" i="17" s="1"/>
  <c r="LP22" i="17" s="1"/>
  <c r="JU21" i="17"/>
  <c r="MI21" i="17" s="1"/>
  <c r="IV21" i="17"/>
  <c r="MF21" i="17" s="1"/>
  <c r="ML21" i="17" s="1"/>
  <c r="ID21" i="17"/>
  <c r="IC21" i="17"/>
  <c r="JC21" i="17" s="1"/>
  <c r="JJ21" i="17" s="1"/>
  <c r="LN22" i="17" s="1"/>
  <c r="NI20" i="17"/>
  <c r="KY20" i="17"/>
  <c r="KX20" i="17"/>
  <c r="KW20" i="17"/>
  <c r="KV20" i="17"/>
  <c r="KU20" i="17"/>
  <c r="KT20" i="17"/>
  <c r="KP20" i="17"/>
  <c r="KE20" i="17"/>
  <c r="KC20" i="17"/>
  <c r="KD20" i="17" s="1"/>
  <c r="KG20" i="17" s="1"/>
  <c r="LG21" i="17" s="1"/>
  <c r="LP21" i="17" s="1"/>
  <c r="JU20" i="17"/>
  <c r="MI20" i="17" s="1"/>
  <c r="IV20" i="17"/>
  <c r="MF20" i="17" s="1"/>
  <c r="ML20" i="17" s="1"/>
  <c r="ID20" i="17"/>
  <c r="IC20" i="17"/>
  <c r="JC20" i="17" s="1"/>
  <c r="JJ20" i="17" s="1"/>
  <c r="LN21" i="17" s="1"/>
  <c r="FL20" i="17"/>
  <c r="FL36" i="17" s="1"/>
  <c r="FK20" i="17"/>
  <c r="FK36" i="17" s="1"/>
  <c r="FJ20" i="17"/>
  <c r="CB20" i="17"/>
  <c r="BY20" i="17"/>
  <c r="BV20" i="17"/>
  <c r="BR20" i="17"/>
  <c r="BN20" i="17"/>
  <c r="BJ20" i="17"/>
  <c r="BF20" i="17"/>
  <c r="BB20" i="17"/>
  <c r="AX20" i="17"/>
  <c r="H20" i="17"/>
  <c r="NI19" i="17"/>
  <c r="KX19" i="17"/>
  <c r="KV19" i="17"/>
  <c r="KT19" i="17"/>
  <c r="KP19" i="17"/>
  <c r="KE19" i="17"/>
  <c r="KC19" i="17"/>
  <c r="KD19" i="17" s="1"/>
  <c r="KG19" i="17" s="1"/>
  <c r="LG20" i="17" s="1"/>
  <c r="LP20" i="17" s="1"/>
  <c r="JU19" i="17"/>
  <c r="MI19" i="17" s="1"/>
  <c r="IV19" i="17"/>
  <c r="MF19" i="17" s="1"/>
  <c r="ML19" i="17" s="1"/>
  <c r="ID19" i="17"/>
  <c r="IC19" i="17"/>
  <c r="JC19" i="17" s="1"/>
  <c r="JJ19" i="17" s="1"/>
  <c r="LN20" i="17" s="1"/>
  <c r="FM19" i="17"/>
  <c r="CB19" i="17"/>
  <c r="BY19" i="17"/>
  <c r="BV19" i="17"/>
  <c r="BR19" i="17"/>
  <c r="BN19" i="17"/>
  <c r="BJ19" i="17"/>
  <c r="BF19" i="17"/>
  <c r="BB19" i="17"/>
  <c r="AX19" i="17"/>
  <c r="NI18" i="17"/>
  <c r="KX18" i="17"/>
  <c r="KV18" i="17"/>
  <c r="KT18" i="17"/>
  <c r="KP18" i="17"/>
  <c r="KE18" i="17"/>
  <c r="KC18" i="17"/>
  <c r="KD18" i="17" s="1"/>
  <c r="KG18" i="17" s="1"/>
  <c r="LG19" i="17" s="1"/>
  <c r="LP19" i="17" s="1"/>
  <c r="JU18" i="17"/>
  <c r="MI18" i="17" s="1"/>
  <c r="IV18" i="17"/>
  <c r="MF18" i="17" s="1"/>
  <c r="ML18" i="17" s="1"/>
  <c r="ID18" i="17"/>
  <c r="IC18" i="17"/>
  <c r="JC18" i="17" s="1"/>
  <c r="JJ18" i="17" s="1"/>
  <c r="LN19" i="17" s="1"/>
  <c r="FM18" i="17"/>
  <c r="CB18" i="17"/>
  <c r="BY18" i="17"/>
  <c r="BV18" i="17"/>
  <c r="BR18" i="17"/>
  <c r="BN18" i="17"/>
  <c r="BJ18" i="17"/>
  <c r="BF18" i="17"/>
  <c r="BB18" i="17"/>
  <c r="AX18" i="17"/>
  <c r="NI17" i="17"/>
  <c r="KX17" i="17"/>
  <c r="KV17" i="17"/>
  <c r="KT17" i="17"/>
  <c r="KP17" i="17"/>
  <c r="KE17" i="17"/>
  <c r="KC17" i="17"/>
  <c r="KD17" i="17" s="1"/>
  <c r="KG17" i="17" s="1"/>
  <c r="LG18" i="17" s="1"/>
  <c r="LP18" i="17" s="1"/>
  <c r="JU17" i="17"/>
  <c r="MI17" i="17" s="1"/>
  <c r="IV17" i="17"/>
  <c r="MF17" i="17" s="1"/>
  <c r="ML17" i="17" s="1"/>
  <c r="ID17" i="17"/>
  <c r="IC17" i="17"/>
  <c r="JC17" i="17" s="1"/>
  <c r="JJ17" i="17" s="1"/>
  <c r="LN18" i="17" s="1"/>
  <c r="FM17" i="17"/>
  <c r="CB17" i="17"/>
  <c r="BY17" i="17"/>
  <c r="BV17" i="17"/>
  <c r="BR17" i="17"/>
  <c r="BN17" i="17"/>
  <c r="BJ17" i="17"/>
  <c r="BF17" i="17"/>
  <c r="BB17" i="17"/>
  <c r="AX17" i="17"/>
  <c r="NI16" i="17"/>
  <c r="KX16" i="17"/>
  <c r="KV16" i="17"/>
  <c r="KT16" i="17"/>
  <c r="KP16" i="17"/>
  <c r="KE16" i="17"/>
  <c r="KC16" i="17"/>
  <c r="KD16" i="17" s="1"/>
  <c r="KG16" i="17" s="1"/>
  <c r="LG17" i="17" s="1"/>
  <c r="LP17" i="17" s="1"/>
  <c r="JU16" i="17"/>
  <c r="MI16" i="17" s="1"/>
  <c r="IV16" i="17"/>
  <c r="MF16" i="17" s="1"/>
  <c r="ML16" i="17" s="1"/>
  <c r="ID16" i="17"/>
  <c r="IC16" i="17"/>
  <c r="JC16" i="17" s="1"/>
  <c r="JJ16" i="17" s="1"/>
  <c r="LN17" i="17" s="1"/>
  <c r="FM16" i="17"/>
  <c r="CB16" i="17"/>
  <c r="BY16" i="17"/>
  <c r="BV16" i="17"/>
  <c r="BR16" i="17"/>
  <c r="BN16" i="17"/>
  <c r="BJ16" i="17"/>
  <c r="BF16" i="17"/>
  <c r="BB16" i="17"/>
  <c r="AX16" i="17"/>
  <c r="AN16" i="17"/>
  <c r="AN17" i="17" s="1"/>
  <c r="AN18" i="17" s="1"/>
  <c r="AN19" i="17" s="1"/>
  <c r="AN20" i="17" s="1"/>
  <c r="NI15" i="17"/>
  <c r="KX15" i="17"/>
  <c r="KV15" i="17"/>
  <c r="KT15" i="17"/>
  <c r="KP15" i="17"/>
  <c r="KE15" i="17"/>
  <c r="KC15" i="17"/>
  <c r="KD15" i="17" s="1"/>
  <c r="KG15" i="17" s="1"/>
  <c r="LG16" i="17" s="1"/>
  <c r="LP16" i="17" s="1"/>
  <c r="JU15" i="17"/>
  <c r="MI15" i="17" s="1"/>
  <c r="IV15" i="17"/>
  <c r="MF15" i="17" s="1"/>
  <c r="ML15" i="17" s="1"/>
  <c r="ID15" i="17"/>
  <c r="IC15" i="17"/>
  <c r="JC15" i="17" s="1"/>
  <c r="JJ15" i="17" s="1"/>
  <c r="LN16" i="17" s="1"/>
  <c r="FM15" i="17"/>
  <c r="CB15" i="17"/>
  <c r="BY15" i="17"/>
  <c r="BV15" i="17"/>
  <c r="BR15" i="17"/>
  <c r="BN15" i="17"/>
  <c r="BJ15" i="17"/>
  <c r="BF15" i="17"/>
  <c r="BB15" i="17"/>
  <c r="AX15" i="17"/>
  <c r="NI14" i="17"/>
  <c r="KY14" i="17"/>
  <c r="KX14" i="17"/>
  <c r="KW14" i="17"/>
  <c r="KV14" i="17"/>
  <c r="KU14" i="17"/>
  <c r="KT14" i="17"/>
  <c r="KP14" i="17"/>
  <c r="KE14" i="17"/>
  <c r="KC14" i="17"/>
  <c r="KD14" i="17" s="1"/>
  <c r="KG14" i="17" s="1"/>
  <c r="LG15" i="17" s="1"/>
  <c r="LP15" i="17" s="1"/>
  <c r="JU14" i="17"/>
  <c r="MI14" i="17" s="1"/>
  <c r="IV14" i="17"/>
  <c r="MF14" i="17" s="1"/>
  <c r="ML14" i="17" s="1"/>
  <c r="ID14" i="17"/>
  <c r="IC14" i="17"/>
  <c r="JC14" i="17" s="1"/>
  <c r="JJ14" i="17" s="1"/>
  <c r="LN15" i="17" s="1"/>
  <c r="GD14" i="17"/>
  <c r="GC14" i="17"/>
  <c r="GB14" i="17"/>
  <c r="GA14" i="17"/>
  <c r="FZ14" i="17"/>
  <c r="FY14" i="17"/>
  <c r="FX14" i="17"/>
  <c r="FM14" i="17"/>
  <c r="CB14" i="17"/>
  <c r="BY14" i="17"/>
  <c r="BV14" i="17"/>
  <c r="BR14" i="17"/>
  <c r="BN14" i="17"/>
  <c r="BJ14" i="17"/>
  <c r="BF14" i="17"/>
  <c r="BB14" i="17"/>
  <c r="AX14" i="17"/>
  <c r="NI13" i="17"/>
  <c r="KY13" i="17"/>
  <c r="KX13" i="17"/>
  <c r="KW13" i="17"/>
  <c r="KV13" i="17"/>
  <c r="KU13" i="17"/>
  <c r="KT13" i="17"/>
  <c r="KP13" i="17"/>
  <c r="KE13" i="17"/>
  <c r="KC13" i="17"/>
  <c r="KD13" i="17" s="1"/>
  <c r="KG13" i="17" s="1"/>
  <c r="LG14" i="17" s="1"/>
  <c r="LP14" i="17" s="1"/>
  <c r="JU13" i="17"/>
  <c r="MI13" i="17" s="1"/>
  <c r="IV13" i="17"/>
  <c r="MF13" i="17" s="1"/>
  <c r="ML13" i="17" s="1"/>
  <c r="ID13" i="17"/>
  <c r="IC13" i="17"/>
  <c r="JC13" i="17" s="1"/>
  <c r="JJ13" i="17" s="1"/>
  <c r="LN14" i="17" s="1"/>
  <c r="GE13" i="17"/>
  <c r="FM13" i="17"/>
  <c r="CB13" i="17"/>
  <c r="BY13" i="17"/>
  <c r="BV13" i="17"/>
  <c r="BR13" i="17"/>
  <c r="BN13" i="17"/>
  <c r="BJ13" i="17"/>
  <c r="BF13" i="17"/>
  <c r="BB13" i="17"/>
  <c r="AX13" i="17"/>
  <c r="NI12" i="17"/>
  <c r="MT12" i="17"/>
  <c r="MT13" i="17" s="1"/>
  <c r="D11" i="18" s="1"/>
  <c r="FE4" i="18" s="1"/>
  <c r="FE6" i="18" s="1"/>
  <c r="FM28" i="18" s="1"/>
  <c r="FN28" i="18" s="1"/>
  <c r="KY12" i="17"/>
  <c r="KX12" i="17"/>
  <c r="KW12" i="17"/>
  <c r="KV12" i="17"/>
  <c r="KU12" i="17"/>
  <c r="KT12" i="17"/>
  <c r="KP12" i="17"/>
  <c r="KE12" i="17"/>
  <c r="KC12" i="17"/>
  <c r="KD12" i="17" s="1"/>
  <c r="KG12" i="17" s="1"/>
  <c r="LG13" i="17" s="1"/>
  <c r="LP13" i="17" s="1"/>
  <c r="JU12" i="17"/>
  <c r="MI12" i="17" s="1"/>
  <c r="IV12" i="17"/>
  <c r="MF12" i="17" s="1"/>
  <c r="ML12" i="17" s="1"/>
  <c r="ID12" i="17"/>
  <c r="IC12" i="17"/>
  <c r="JC12" i="17" s="1"/>
  <c r="JJ12" i="17" s="1"/>
  <c r="LN13" i="17" s="1"/>
  <c r="HD12" i="17"/>
  <c r="HC12" i="17"/>
  <c r="HB12" i="17"/>
  <c r="GZ12" i="17"/>
  <c r="GY12" i="17"/>
  <c r="GX12" i="17"/>
  <c r="GQ12" i="17"/>
  <c r="HD13" i="17" s="1"/>
  <c r="GP12" i="17"/>
  <c r="HC13" i="17" s="1"/>
  <c r="GO12" i="17"/>
  <c r="HB13" i="17" s="1"/>
  <c r="GM12" i="17"/>
  <c r="GZ13" i="17" s="1"/>
  <c r="GL12" i="17"/>
  <c r="GY13" i="17" s="1"/>
  <c r="GK12" i="17"/>
  <c r="GX13" i="17" s="1"/>
  <c r="HA13" i="17" s="1"/>
  <c r="GE12" i="17"/>
  <c r="FM12" i="17"/>
  <c r="DZ12" i="17"/>
  <c r="H17" i="17" s="1"/>
  <c r="DY12" i="17"/>
  <c r="DX12" i="17"/>
  <c r="DW12" i="17"/>
  <c r="DV12" i="17"/>
  <c r="F17" i="17" s="1"/>
  <c r="DU12" i="17"/>
  <c r="DT12" i="17"/>
  <c r="DS12" i="17"/>
  <c r="Z12" i="17"/>
  <c r="Y12" i="17"/>
  <c r="X12" i="17"/>
  <c r="NI11" i="17"/>
  <c r="NC11" i="17"/>
  <c r="KX11" i="17"/>
  <c r="KV11" i="17"/>
  <c r="KT11" i="17"/>
  <c r="KP11" i="17"/>
  <c r="KE11" i="17"/>
  <c r="KC11" i="17"/>
  <c r="KD11" i="17" s="1"/>
  <c r="KG11" i="17" s="1"/>
  <c r="LG12" i="17" s="1"/>
  <c r="LP12" i="17" s="1"/>
  <c r="JU11" i="17"/>
  <c r="MI11" i="17" s="1"/>
  <c r="IV11" i="17"/>
  <c r="MF11" i="17" s="1"/>
  <c r="ML11" i="17" s="1"/>
  <c r="ID11" i="17"/>
  <c r="IC11" i="17"/>
  <c r="JC11" i="17" s="1"/>
  <c r="JJ11" i="17" s="1"/>
  <c r="LN12" i="17" s="1"/>
  <c r="HE11" i="17"/>
  <c r="HA11" i="17"/>
  <c r="GR11" i="17"/>
  <c r="GN11" i="17"/>
  <c r="GE11" i="17"/>
  <c r="FM11" i="17"/>
  <c r="CB11" i="17"/>
  <c r="BY11" i="17"/>
  <c r="BV11" i="17"/>
  <c r="BR11" i="17"/>
  <c r="BN11" i="17"/>
  <c r="BJ11" i="17"/>
  <c r="BF11" i="17"/>
  <c r="BB11" i="17"/>
  <c r="AX11" i="17"/>
  <c r="N11" i="17"/>
  <c r="M11" i="17"/>
  <c r="J11" i="17"/>
  <c r="NI10" i="17"/>
  <c r="KX10" i="17"/>
  <c r="KV10" i="17"/>
  <c r="KT10" i="17"/>
  <c r="KP10" i="17"/>
  <c r="KE10" i="17"/>
  <c r="KC10" i="17"/>
  <c r="KD10" i="17" s="1"/>
  <c r="KG10" i="17" s="1"/>
  <c r="LG11" i="17" s="1"/>
  <c r="LP11" i="17" s="1"/>
  <c r="JU10" i="17"/>
  <c r="MI10" i="17" s="1"/>
  <c r="IV10" i="17"/>
  <c r="MF10" i="17" s="1"/>
  <c r="ML10" i="17" s="1"/>
  <c r="ID10" i="17"/>
  <c r="IC10" i="17"/>
  <c r="JC10" i="17" s="1"/>
  <c r="JJ10" i="17" s="1"/>
  <c r="LN11" i="17" s="1"/>
  <c r="HE10" i="17"/>
  <c r="HA10" i="17"/>
  <c r="GR10" i="17"/>
  <c r="GN10" i="17"/>
  <c r="GE10" i="17"/>
  <c r="FM10" i="17"/>
  <c r="CB10" i="17"/>
  <c r="BY10" i="17"/>
  <c r="BV10" i="17"/>
  <c r="BR10" i="17"/>
  <c r="BN10" i="17"/>
  <c r="BJ10" i="17"/>
  <c r="BF10" i="17"/>
  <c r="BB10" i="17"/>
  <c r="AX10" i="17"/>
  <c r="AA10" i="17"/>
  <c r="NI9" i="17"/>
  <c r="MT9" i="17"/>
  <c r="KY9" i="17"/>
  <c r="KX9" i="17"/>
  <c r="KW9" i="17"/>
  <c r="KV9" i="17"/>
  <c r="KU9" i="17"/>
  <c r="KT9" i="17"/>
  <c r="KP9" i="17"/>
  <c r="KE9" i="17"/>
  <c r="KC9" i="17"/>
  <c r="KD9" i="17" s="1"/>
  <c r="KG9" i="17" s="1"/>
  <c r="LG10" i="17" s="1"/>
  <c r="LP10" i="17" s="1"/>
  <c r="JU9" i="17"/>
  <c r="MI9" i="17" s="1"/>
  <c r="IV9" i="17"/>
  <c r="MF9" i="17" s="1"/>
  <c r="ML9" i="17" s="1"/>
  <c r="ID9" i="17"/>
  <c r="IC9" i="17"/>
  <c r="JC9" i="17" s="1"/>
  <c r="JJ9" i="17" s="1"/>
  <c r="LN10" i="17" s="1"/>
  <c r="HQ9" i="17"/>
  <c r="HP9" i="17"/>
  <c r="HO9" i="17"/>
  <c r="HR9" i="17" s="1"/>
  <c r="HM9" i="17"/>
  <c r="HL9" i="17"/>
  <c r="HK9" i="17"/>
  <c r="HN9" i="17" s="1"/>
  <c r="HE9" i="17"/>
  <c r="HA9" i="17"/>
  <c r="GR9" i="17"/>
  <c r="GN9" i="17"/>
  <c r="GE9" i="17"/>
  <c r="FM9" i="17"/>
  <c r="FC9" i="17"/>
  <c r="H19" i="17" s="1"/>
  <c r="EY9" i="17"/>
  <c r="EX9" i="17"/>
  <c r="EW9" i="17"/>
  <c r="EU9" i="17"/>
  <c r="ET9" i="17"/>
  <c r="ES9" i="17"/>
  <c r="EL9" i="17"/>
  <c r="EK9" i="17"/>
  <c r="EJ9" i="17"/>
  <c r="EH9" i="17"/>
  <c r="EG9" i="17"/>
  <c r="EF9" i="17"/>
  <c r="DM9" i="17"/>
  <c r="H16" i="17" s="1"/>
  <c r="DL9" i="17"/>
  <c r="AJ11" i="17" s="1"/>
  <c r="DK9" i="17"/>
  <c r="F16" i="17" s="1"/>
  <c r="DJ9" i="17"/>
  <c r="DD9" i="17"/>
  <c r="H15" i="17" s="1"/>
  <c r="DC9" i="17"/>
  <c r="DB9" i="17"/>
  <c r="AI11" i="17" s="1"/>
  <c r="DA9" i="17"/>
  <c r="F15" i="17" s="1"/>
  <c r="CZ9" i="17"/>
  <c r="CS9" i="17"/>
  <c r="CR9" i="17"/>
  <c r="CQ9" i="17"/>
  <c r="AH11" i="17" s="1"/>
  <c r="CO9" i="17"/>
  <c r="CN9" i="17"/>
  <c r="CM9" i="17"/>
  <c r="CB9" i="17"/>
  <c r="BY9" i="17"/>
  <c r="BV9" i="17"/>
  <c r="BR9" i="17"/>
  <c r="BN9" i="17"/>
  <c r="BJ9" i="17"/>
  <c r="BF9" i="17"/>
  <c r="BB9" i="17"/>
  <c r="AX9" i="17"/>
  <c r="N9" i="17"/>
  <c r="K9" i="17"/>
  <c r="NI8" i="17"/>
  <c r="NH8" i="17"/>
  <c r="NH9" i="17" s="1"/>
  <c r="NH10" i="17" s="1"/>
  <c r="NH11" i="17" s="1"/>
  <c r="NH12" i="17" s="1"/>
  <c r="NH13" i="17" s="1"/>
  <c r="NH14" i="17" s="1"/>
  <c r="NH15" i="17" s="1"/>
  <c r="NH16" i="17" s="1"/>
  <c r="NH17" i="17" s="1"/>
  <c r="NH18" i="17" s="1"/>
  <c r="NH19" i="17" s="1"/>
  <c r="NH20" i="17" s="1"/>
  <c r="NH21" i="17" s="1"/>
  <c r="NH22" i="17" s="1"/>
  <c r="NH23" i="17" s="1"/>
  <c r="NH24" i="17" s="1"/>
  <c r="NH25" i="17" s="1"/>
  <c r="NH26" i="17" s="1"/>
  <c r="NH27" i="17" s="1"/>
  <c r="NH28" i="17" s="1"/>
  <c r="NH29" i="17" s="1"/>
  <c r="NH30" i="17" s="1"/>
  <c r="NH31" i="17" s="1"/>
  <c r="NH32" i="17" s="1"/>
  <c r="NH34" i="17" s="1"/>
  <c r="NH35" i="17" s="1"/>
  <c r="MX8" i="17"/>
  <c r="MX9" i="17" s="1"/>
  <c r="MX10" i="17" s="1"/>
  <c r="MX11" i="17" s="1"/>
  <c r="MX12" i="17" s="1"/>
  <c r="MX13" i="17" s="1"/>
  <c r="MX14" i="17" s="1"/>
  <c r="MX15" i="17" s="1"/>
  <c r="MX16" i="17" s="1"/>
  <c r="MX17" i="17" s="1"/>
  <c r="MX18" i="17" s="1"/>
  <c r="MX19" i="17" s="1"/>
  <c r="MX20" i="17" s="1"/>
  <c r="MX21" i="17" s="1"/>
  <c r="MX22" i="17" s="1"/>
  <c r="MX23" i="17" s="1"/>
  <c r="MX24" i="17" s="1"/>
  <c r="MX25" i="17" s="1"/>
  <c r="MX26" i="17" s="1"/>
  <c r="MX27" i="17" s="1"/>
  <c r="MX28" i="17" s="1"/>
  <c r="MX29" i="17" s="1"/>
  <c r="MX30" i="17" s="1"/>
  <c r="MX31" i="17" s="1"/>
  <c r="MX32" i="17" s="1"/>
  <c r="MX34" i="17" s="1"/>
  <c r="MX35" i="17" s="1"/>
  <c r="KY8" i="17"/>
  <c r="KX8" i="17"/>
  <c r="KW8" i="17"/>
  <c r="KV8" i="17"/>
  <c r="KU8" i="17"/>
  <c r="KT8" i="17"/>
  <c r="KP8" i="17"/>
  <c r="KE8" i="17"/>
  <c r="KC8" i="17"/>
  <c r="KD8" i="17" s="1"/>
  <c r="KG8" i="17" s="1"/>
  <c r="LG9" i="17" s="1"/>
  <c r="LP9" i="17" s="1"/>
  <c r="JU8" i="17"/>
  <c r="MI8" i="17" s="1"/>
  <c r="IV8" i="17"/>
  <c r="MF8" i="17" s="1"/>
  <c r="ML8" i="17" s="1"/>
  <c r="ID8" i="17"/>
  <c r="IC8" i="17"/>
  <c r="JC8" i="17" s="1"/>
  <c r="JJ8" i="17" s="1"/>
  <c r="LN9" i="17" s="1"/>
  <c r="HR8" i="17"/>
  <c r="HN8" i="17"/>
  <c r="HE8" i="17"/>
  <c r="HA8" i="17"/>
  <c r="GR8" i="17"/>
  <c r="GN8" i="17"/>
  <c r="GE8" i="17"/>
  <c r="FM8" i="17"/>
  <c r="FG8" i="17"/>
  <c r="FG9" i="17" s="1"/>
  <c r="FG10" i="17" s="1"/>
  <c r="FG11" i="17" s="1"/>
  <c r="FG12" i="17" s="1"/>
  <c r="FG13" i="17" s="1"/>
  <c r="FG14" i="17" s="1"/>
  <c r="FG15" i="17" s="1"/>
  <c r="FG16" i="17" s="1"/>
  <c r="FG17" i="17" s="1"/>
  <c r="FG18" i="17" s="1"/>
  <c r="FG19" i="17" s="1"/>
  <c r="FG20" i="17" s="1"/>
  <c r="FG21" i="17" s="1"/>
  <c r="FG22" i="17" s="1"/>
  <c r="FG23" i="17" s="1"/>
  <c r="FG24" i="17" s="1"/>
  <c r="FG25" i="17" s="1"/>
  <c r="FG26" i="17" s="1"/>
  <c r="FG27" i="17" s="1"/>
  <c r="FG28" i="17" s="1"/>
  <c r="FG29" i="17" s="1"/>
  <c r="FG30" i="17" s="1"/>
  <c r="FG31" i="17" s="1"/>
  <c r="FG32" i="17" s="1"/>
  <c r="FG33" i="17" s="1"/>
  <c r="FG34" i="17" s="1"/>
  <c r="FG35" i="17" s="1"/>
  <c r="FG36" i="17" s="1"/>
  <c r="EZ8" i="17"/>
  <c r="EV8" i="17"/>
  <c r="EM8" i="17"/>
  <c r="EI8" i="17"/>
  <c r="CT8" i="17"/>
  <c r="CP8" i="17"/>
  <c r="CB8" i="17"/>
  <c r="BY8" i="17"/>
  <c r="BV8" i="17"/>
  <c r="BR8" i="17"/>
  <c r="BN8" i="17"/>
  <c r="BJ8" i="17"/>
  <c r="BF8" i="17"/>
  <c r="BB8" i="17"/>
  <c r="AX8" i="17"/>
  <c r="AF8" i="17"/>
  <c r="AF9" i="17" s="1"/>
  <c r="AF10" i="17" s="1"/>
  <c r="AF11" i="17" s="1"/>
  <c r="AF12" i="17" s="1"/>
  <c r="AF13" i="17" s="1"/>
  <c r="AF14" i="17" s="1"/>
  <c r="AF15" i="17" s="1"/>
  <c r="AF16" i="17" s="1"/>
  <c r="AF17" i="17" s="1"/>
  <c r="AF18" i="17" s="1"/>
  <c r="AF19" i="17" s="1"/>
  <c r="AF20" i="17" s="1"/>
  <c r="AF21" i="17" s="1"/>
  <c r="N8" i="17"/>
  <c r="K8" i="17"/>
  <c r="H8" i="17"/>
  <c r="F8" i="17"/>
  <c r="NI7" i="17"/>
  <c r="MZ7" i="17"/>
  <c r="MR7" i="17"/>
  <c r="MR8" i="17" s="1"/>
  <c r="MR9" i="17" s="1"/>
  <c r="MR10" i="17" s="1"/>
  <c r="MR11" i="17" s="1"/>
  <c r="MR12" i="17" s="1"/>
  <c r="MR13" i="17" s="1"/>
  <c r="LE7" i="17"/>
  <c r="LE8" i="17" s="1"/>
  <c r="LE9" i="17" s="1"/>
  <c r="LE10" i="17" s="1"/>
  <c r="LE11" i="17" s="1"/>
  <c r="LE12" i="17" s="1"/>
  <c r="LE13" i="17" s="1"/>
  <c r="LE14" i="17" s="1"/>
  <c r="LE15" i="17" s="1"/>
  <c r="LE16" i="17" s="1"/>
  <c r="LE17" i="17" s="1"/>
  <c r="LE18" i="17" s="1"/>
  <c r="LE19" i="17" s="1"/>
  <c r="LE20" i="17" s="1"/>
  <c r="LE21" i="17" s="1"/>
  <c r="LE22" i="17" s="1"/>
  <c r="LE23" i="17" s="1"/>
  <c r="LE24" i="17" s="1"/>
  <c r="LE25" i="17" s="1"/>
  <c r="LE26" i="17" s="1"/>
  <c r="LE27" i="17" s="1"/>
  <c r="LE28" i="17" s="1"/>
  <c r="KY7" i="17"/>
  <c r="KX7" i="17"/>
  <c r="KW7" i="17"/>
  <c r="KV7" i="17"/>
  <c r="KU7" i="17"/>
  <c r="KT7" i="17"/>
  <c r="KP7" i="17"/>
  <c r="KE7" i="17"/>
  <c r="KC7" i="17"/>
  <c r="KD7" i="17" s="1"/>
  <c r="KG7" i="17" s="1"/>
  <c r="LG8" i="17" s="1"/>
  <c r="LP8" i="17" s="1"/>
  <c r="JU7" i="17"/>
  <c r="MI7" i="17" s="1"/>
  <c r="IV7" i="17"/>
  <c r="MF7" i="17" s="1"/>
  <c r="ML7" i="17" s="1"/>
  <c r="ID7" i="17"/>
  <c r="IC7" i="17"/>
  <c r="JC7" i="17" s="1"/>
  <c r="JJ7" i="17" s="1"/>
  <c r="LN8" i="17" s="1"/>
  <c r="HR7" i="17"/>
  <c r="HN7" i="17"/>
  <c r="HA7" i="17"/>
  <c r="GR7" i="17"/>
  <c r="GN7" i="17"/>
  <c r="GE7" i="17"/>
  <c r="FM7" i="17"/>
  <c r="EZ7" i="17"/>
  <c r="EV7" i="17"/>
  <c r="EM7" i="17"/>
  <c r="EI7" i="17"/>
  <c r="CT7" i="17"/>
  <c r="CP7" i="17"/>
  <c r="CB7" i="17"/>
  <c r="BY7" i="17"/>
  <c r="BV7" i="17"/>
  <c r="BR7" i="17"/>
  <c r="BN7" i="17"/>
  <c r="BJ7" i="17"/>
  <c r="BF7" i="17"/>
  <c r="BB7" i="17"/>
  <c r="AX7" i="17"/>
  <c r="AJ7" i="17"/>
  <c r="AI7" i="17"/>
  <c r="AH7" i="17"/>
  <c r="AA7" i="17"/>
  <c r="V7" i="17"/>
  <c r="V8" i="17" s="1"/>
  <c r="V10" i="17" s="1"/>
  <c r="V11" i="17" s="1"/>
  <c r="V12" i="17" s="1"/>
  <c r="V14" i="17" s="1"/>
  <c r="V15" i="17" s="1"/>
  <c r="V16" i="17" s="1"/>
  <c r="V18" i="17" s="1"/>
  <c r="V19" i="17" s="1"/>
  <c r="V20" i="17" s="1"/>
  <c r="N7" i="17"/>
  <c r="K7" i="17"/>
  <c r="B7" i="17"/>
  <c r="B8" i="17" s="1"/>
  <c r="B9" i="17" s="1"/>
  <c r="B10" i="17" s="1"/>
  <c r="B11" i="17" s="1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B24" i="17" s="1"/>
  <c r="B25" i="17" s="1"/>
  <c r="KY6" i="17"/>
  <c r="KX6" i="17"/>
  <c r="KX26" i="17" s="1"/>
  <c r="KY27" i="17" s="1"/>
  <c r="KW6" i="17"/>
  <c r="KV6" i="17"/>
  <c r="KV26" i="17" s="1"/>
  <c r="KW27" i="17" s="1"/>
  <c r="KU6" i="17"/>
  <c r="KT6" i="17"/>
  <c r="KP6" i="17"/>
  <c r="KE6" i="17"/>
  <c r="KC6" i="17"/>
  <c r="JU6" i="17"/>
  <c r="MI6" i="17" s="1"/>
  <c r="MI26" i="17" s="1"/>
  <c r="IV6" i="17"/>
  <c r="MF6" i="17" s="1"/>
  <c r="ID6" i="17"/>
  <c r="IC6" i="17"/>
  <c r="JC6" i="17" s="1"/>
  <c r="JJ6" i="17" s="1"/>
  <c r="HR6" i="17"/>
  <c r="H24" i="17" s="1"/>
  <c r="HN6" i="17"/>
  <c r="F24" i="17" s="1"/>
  <c r="HE6" i="17"/>
  <c r="HA6" i="17"/>
  <c r="GR6" i="17"/>
  <c r="GR12" i="17" s="1"/>
  <c r="HE13" i="17" s="1"/>
  <c r="GN6" i="17"/>
  <c r="GN12" i="17" s="1"/>
  <c r="GE6" i="17"/>
  <c r="GE14" i="17" s="1"/>
  <c r="EZ6" i="17"/>
  <c r="EV6" i="17"/>
  <c r="EV9" i="17" s="1"/>
  <c r="F19" i="17" s="1"/>
  <c r="G19" i="17" s="1"/>
  <c r="EM6" i="17"/>
  <c r="EM9" i="17" s="1"/>
  <c r="H18" i="17" s="1"/>
  <c r="EI6" i="17"/>
  <c r="EI9" i="17" s="1"/>
  <c r="F18" i="17" s="1"/>
  <c r="DV6" i="17"/>
  <c r="CT6" i="17"/>
  <c r="CT9" i="17" s="1"/>
  <c r="H14" i="17" s="1"/>
  <c r="CP6" i="17"/>
  <c r="CP9" i="17" s="1"/>
  <c r="F14" i="17" s="1"/>
  <c r="KO5" i="17"/>
  <c r="LL4" i="17"/>
  <c r="LN4" i="17" s="1"/>
  <c r="KV4" i="17"/>
  <c r="KQ4" i="17"/>
  <c r="KP4" i="17"/>
  <c r="JE4" i="17"/>
  <c r="IM4" i="17"/>
  <c r="FP4" i="17"/>
  <c r="FN4" i="17"/>
  <c r="AJ4" i="17"/>
  <c r="AI4" i="17"/>
  <c r="AH4" i="17"/>
  <c r="CQ3" i="17"/>
  <c r="DB3" i="17" s="1"/>
  <c r="CM3" i="17"/>
  <c r="CZ3" i="17" s="1"/>
  <c r="GZ32" i="16"/>
  <c r="HA32" i="16" s="1"/>
  <c r="HB32" i="16" s="1"/>
  <c r="HC32" i="16" s="1"/>
  <c r="HD32" i="16" s="1"/>
  <c r="GK31" i="16"/>
  <c r="GL31" i="16" s="1"/>
  <c r="GM31" i="16" s="1"/>
  <c r="GN31" i="16" s="1"/>
  <c r="GO31" i="16" s="1"/>
  <c r="GP31" i="16" s="1"/>
  <c r="GQ31" i="16" s="1"/>
  <c r="GR31" i="16" s="1"/>
  <c r="GA31" i="16"/>
  <c r="GB31" i="16" s="1"/>
  <c r="GC31" i="16" s="1"/>
  <c r="FV31" i="16"/>
  <c r="FW31" i="16" s="1"/>
  <c r="FX31" i="16" s="1"/>
  <c r="FY31" i="16" s="1"/>
  <c r="AT31" i="16"/>
  <c r="AU31" i="16" s="1"/>
  <c r="AV31" i="16" s="1"/>
  <c r="AW31" i="16" s="1"/>
  <c r="AX31" i="16" s="1"/>
  <c r="AY31" i="16" s="1"/>
  <c r="BA31" i="16" s="1"/>
  <c r="HC30" i="16"/>
  <c r="Z30" i="16"/>
  <c r="FM31" i="16" s="1"/>
  <c r="FN31" i="16" s="1"/>
  <c r="HD28" i="16"/>
  <c r="FL28" i="16"/>
  <c r="AT28" i="16"/>
  <c r="M28" i="16"/>
  <c r="JV27" i="16"/>
  <c r="JJ27" i="16"/>
  <c r="IT27" i="16"/>
  <c r="IW27" i="16" s="1"/>
  <c r="HT27" i="16"/>
  <c r="HA27" i="16"/>
  <c r="HB27" i="16" s="1"/>
  <c r="GR27" i="16"/>
  <c r="GH27" i="16"/>
  <c r="FJ27" i="16"/>
  <c r="EO27" i="16"/>
  <c r="DX27" i="16"/>
  <c r="DI27" i="16"/>
  <c r="CJ27" i="16"/>
  <c r="BM27" i="16"/>
  <c r="AU27" i="16"/>
  <c r="AR27" i="16"/>
  <c r="AT27" i="16" s="1"/>
  <c r="W27" i="16"/>
  <c r="P27" i="16"/>
  <c r="N27" i="16"/>
  <c r="JW26" i="16"/>
  <c r="JJ26" i="16"/>
  <c r="IT26" i="16"/>
  <c r="HT26" i="16"/>
  <c r="HA26" i="16"/>
  <c r="GR26" i="16"/>
  <c r="GH26" i="16"/>
  <c r="FJ26" i="16"/>
  <c r="EO26" i="16"/>
  <c r="DX26" i="16"/>
  <c r="DI26" i="16"/>
  <c r="CJ26" i="16"/>
  <c r="BM26" i="16"/>
  <c r="AU26" i="16"/>
  <c r="AR26" i="16"/>
  <c r="AT26" i="16" s="1"/>
  <c r="W26" i="16"/>
  <c r="P26" i="16"/>
  <c r="N26" i="16"/>
  <c r="JW25" i="16"/>
  <c r="JJ25" i="16"/>
  <c r="IT25" i="16"/>
  <c r="HT25" i="16"/>
  <c r="HA25" i="16"/>
  <c r="GR25" i="16"/>
  <c r="GH25" i="16"/>
  <c r="FJ25" i="16"/>
  <c r="EO25" i="16"/>
  <c r="DX25" i="16"/>
  <c r="DI25" i="16"/>
  <c r="CJ25" i="16"/>
  <c r="BQ25" i="16"/>
  <c r="BM25" i="16"/>
  <c r="AU25" i="16"/>
  <c r="AR25" i="16"/>
  <c r="AT25" i="16" s="1"/>
  <c r="W25" i="16"/>
  <c r="P25" i="16"/>
  <c r="N25" i="16"/>
  <c r="JW24" i="16"/>
  <c r="JJ24" i="16"/>
  <c r="IT24" i="16"/>
  <c r="IW24" i="16" s="1"/>
  <c r="HT24" i="16"/>
  <c r="HA24" i="16"/>
  <c r="HB24" i="16" s="1"/>
  <c r="GR24" i="16"/>
  <c r="GH24" i="16"/>
  <c r="FJ24" i="16"/>
  <c r="EO24" i="16"/>
  <c r="DX24" i="16"/>
  <c r="DI24" i="16"/>
  <c r="CJ24" i="16"/>
  <c r="BM24" i="16"/>
  <c r="AU24" i="16"/>
  <c r="AR24" i="16"/>
  <c r="AT24" i="16" s="1"/>
  <c r="W24" i="16"/>
  <c r="P24" i="16"/>
  <c r="N24" i="16"/>
  <c r="JW23" i="16"/>
  <c r="JJ23" i="16"/>
  <c r="IT23" i="16"/>
  <c r="IW23" i="16" s="1"/>
  <c r="HT23" i="16"/>
  <c r="HA23" i="16"/>
  <c r="HB23" i="16" s="1"/>
  <c r="GR23" i="16"/>
  <c r="GH23" i="16"/>
  <c r="FJ23" i="16"/>
  <c r="EO23" i="16"/>
  <c r="DX23" i="16"/>
  <c r="DI23" i="16"/>
  <c r="CJ23" i="16"/>
  <c r="BM23" i="16"/>
  <c r="AU23" i="16"/>
  <c r="AR23" i="16"/>
  <c r="AT23" i="16" s="1"/>
  <c r="W23" i="16"/>
  <c r="P23" i="16"/>
  <c r="N23" i="16"/>
  <c r="JW22" i="16"/>
  <c r="JJ22" i="16"/>
  <c r="IT22" i="16"/>
  <c r="HT22" i="16"/>
  <c r="HA22" i="16"/>
  <c r="GR22" i="16"/>
  <c r="GH22" i="16"/>
  <c r="FJ22" i="16"/>
  <c r="EO22" i="16"/>
  <c r="DX22" i="16"/>
  <c r="DI22" i="16"/>
  <c r="CJ22" i="16"/>
  <c r="BM22" i="16"/>
  <c r="AU22" i="16"/>
  <c r="AR22" i="16"/>
  <c r="W22" i="16"/>
  <c r="P22" i="16"/>
  <c r="N22" i="16"/>
  <c r="JW21" i="16"/>
  <c r="JJ21" i="16"/>
  <c r="IT21" i="16"/>
  <c r="HT21" i="16"/>
  <c r="HA21" i="16"/>
  <c r="GR21" i="16"/>
  <c r="GH21" i="16"/>
  <c r="FJ21" i="16"/>
  <c r="EO21" i="16"/>
  <c r="DX21" i="16"/>
  <c r="DI21" i="16"/>
  <c r="CJ21" i="16"/>
  <c r="BM21" i="16"/>
  <c r="AU21" i="16"/>
  <c r="AR21" i="16"/>
  <c r="AT21" i="16" s="1"/>
  <c r="W21" i="16"/>
  <c r="P21" i="16"/>
  <c r="JW20" i="16"/>
  <c r="JJ20" i="16"/>
  <c r="IT20" i="16"/>
  <c r="HT20" i="16"/>
  <c r="HA20" i="16"/>
  <c r="GR20" i="16"/>
  <c r="GH20" i="16"/>
  <c r="FJ20" i="16"/>
  <c r="EO20" i="16"/>
  <c r="DX20" i="16"/>
  <c r="DI20" i="16"/>
  <c r="CJ20" i="16"/>
  <c r="BM20" i="16"/>
  <c r="AU20" i="16"/>
  <c r="AR20" i="16"/>
  <c r="AT20" i="16" s="1"/>
  <c r="W20" i="16"/>
  <c r="P20" i="16"/>
  <c r="N20" i="16"/>
  <c r="JW19" i="16"/>
  <c r="JJ19" i="16"/>
  <c r="IT19" i="16"/>
  <c r="HT19" i="16"/>
  <c r="HA19" i="16"/>
  <c r="GR19" i="16"/>
  <c r="GH19" i="16"/>
  <c r="FJ19" i="16"/>
  <c r="EO19" i="16"/>
  <c r="DX19" i="16"/>
  <c r="DI19" i="16"/>
  <c r="CJ19" i="16"/>
  <c r="BM19" i="16"/>
  <c r="AU19" i="16"/>
  <c r="AR19" i="16"/>
  <c r="AT19" i="16" s="1"/>
  <c r="W19" i="16"/>
  <c r="P19" i="16"/>
  <c r="N19" i="16"/>
  <c r="JW18" i="16"/>
  <c r="JJ18" i="16"/>
  <c r="IT18" i="16"/>
  <c r="HT18" i="16"/>
  <c r="HA18" i="16"/>
  <c r="GR18" i="16"/>
  <c r="GH18" i="16"/>
  <c r="FJ18" i="16"/>
  <c r="EO18" i="16"/>
  <c r="DX18" i="16"/>
  <c r="DI18" i="16"/>
  <c r="CJ18" i="16"/>
  <c r="BM18" i="16"/>
  <c r="AU18" i="16"/>
  <c r="AR18" i="16"/>
  <c r="AT18" i="16" s="1"/>
  <c r="W18" i="16"/>
  <c r="P18" i="16"/>
  <c r="N18" i="16"/>
  <c r="JW17" i="16"/>
  <c r="JJ17" i="16"/>
  <c r="IT17" i="16"/>
  <c r="IW17" i="16" s="1"/>
  <c r="HT17" i="16"/>
  <c r="HA17" i="16"/>
  <c r="GR17" i="16"/>
  <c r="GH17" i="16"/>
  <c r="FJ17" i="16"/>
  <c r="EO17" i="16"/>
  <c r="DX17" i="16"/>
  <c r="DI17" i="16"/>
  <c r="CJ17" i="16"/>
  <c r="BM17" i="16"/>
  <c r="AU17" i="16"/>
  <c r="AR17" i="16"/>
  <c r="AT17" i="16" s="1"/>
  <c r="W17" i="16"/>
  <c r="P17" i="16"/>
  <c r="N17" i="16"/>
  <c r="JW16" i="16"/>
  <c r="JJ16" i="16"/>
  <c r="IT16" i="16"/>
  <c r="HT16" i="16"/>
  <c r="HA16" i="16"/>
  <c r="GR16" i="16"/>
  <c r="GH16" i="16"/>
  <c r="FJ16" i="16"/>
  <c r="EO16" i="16"/>
  <c r="DX16" i="16"/>
  <c r="DI16" i="16"/>
  <c r="CJ16" i="16"/>
  <c r="BM16" i="16"/>
  <c r="AU16" i="16"/>
  <c r="AR16" i="16"/>
  <c r="AT16" i="16" s="1"/>
  <c r="W16" i="16"/>
  <c r="P16" i="16"/>
  <c r="N16" i="16"/>
  <c r="JW15" i="16"/>
  <c r="JJ15" i="16"/>
  <c r="IT15" i="16"/>
  <c r="IW15" i="16" s="1"/>
  <c r="HT15" i="16"/>
  <c r="HA15" i="16"/>
  <c r="GR15" i="16"/>
  <c r="GH15" i="16"/>
  <c r="FJ15" i="16"/>
  <c r="EO15" i="16"/>
  <c r="DX15" i="16"/>
  <c r="DI15" i="16"/>
  <c r="CJ15" i="16"/>
  <c r="BM15" i="16"/>
  <c r="AU15" i="16"/>
  <c r="AR15" i="16"/>
  <c r="AT15" i="16" s="1"/>
  <c r="W15" i="16"/>
  <c r="P15" i="16"/>
  <c r="N15" i="16"/>
  <c r="JW14" i="16"/>
  <c r="JJ14" i="16"/>
  <c r="JW13" i="16" s="1"/>
  <c r="IT14" i="16"/>
  <c r="HT14" i="16"/>
  <c r="HA14" i="16"/>
  <c r="GR14" i="16"/>
  <c r="GH14" i="16"/>
  <c r="FJ14" i="16"/>
  <c r="EO14" i="16"/>
  <c r="DX14" i="16"/>
  <c r="DI14" i="16"/>
  <c r="CJ14" i="16"/>
  <c r="BM14" i="16"/>
  <c r="AU14" i="16"/>
  <c r="AR14" i="16"/>
  <c r="AT14" i="16" s="1"/>
  <c r="W14" i="16"/>
  <c r="P14" i="16"/>
  <c r="JJ13" i="16"/>
  <c r="IT13" i="16"/>
  <c r="HT13" i="16"/>
  <c r="HA13" i="16"/>
  <c r="GR13" i="16"/>
  <c r="GH13" i="16"/>
  <c r="FJ13" i="16"/>
  <c r="EO13" i="16"/>
  <c r="DX13" i="16"/>
  <c r="DI13" i="16"/>
  <c r="CJ13" i="16"/>
  <c r="BM13" i="16"/>
  <c r="AU13" i="16"/>
  <c r="AR13" i="16"/>
  <c r="AT13" i="16" s="1"/>
  <c r="W13" i="16"/>
  <c r="P13" i="16"/>
  <c r="N13" i="16"/>
  <c r="JW12" i="16"/>
  <c r="JJ12" i="16"/>
  <c r="IT12" i="16"/>
  <c r="HT12" i="16"/>
  <c r="HA12" i="16"/>
  <c r="GR12" i="16"/>
  <c r="GH12" i="16"/>
  <c r="FJ12" i="16"/>
  <c r="EO12" i="16"/>
  <c r="DX12" i="16"/>
  <c r="DI12" i="16"/>
  <c r="CJ12" i="16"/>
  <c r="BM12" i="16"/>
  <c r="AU12" i="16"/>
  <c r="AR12" i="16"/>
  <c r="AT12" i="16" s="1"/>
  <c r="W12" i="16"/>
  <c r="P12" i="16"/>
  <c r="N12" i="16"/>
  <c r="JW11" i="16"/>
  <c r="JJ11" i="16"/>
  <c r="IT11" i="16"/>
  <c r="HT11" i="16"/>
  <c r="HA11" i="16"/>
  <c r="GR11" i="16"/>
  <c r="GH11" i="16"/>
  <c r="FJ11" i="16"/>
  <c r="EO11" i="16"/>
  <c r="DX11" i="16"/>
  <c r="DI11" i="16"/>
  <c r="CJ11" i="16"/>
  <c r="BM11" i="16"/>
  <c r="AU11" i="16"/>
  <c r="AR11" i="16"/>
  <c r="AT11" i="16" s="1"/>
  <c r="W11" i="16"/>
  <c r="P11" i="16"/>
  <c r="N11" i="16"/>
  <c r="JW10" i="16"/>
  <c r="JJ10" i="16"/>
  <c r="IT10" i="16"/>
  <c r="HT10" i="16"/>
  <c r="HA10" i="16"/>
  <c r="GR10" i="16"/>
  <c r="GH10" i="16"/>
  <c r="FJ10" i="16"/>
  <c r="EO10" i="16"/>
  <c r="DX10" i="16"/>
  <c r="DI10" i="16"/>
  <c r="CJ10" i="16"/>
  <c r="BM10" i="16"/>
  <c r="AU10" i="16"/>
  <c r="AR10" i="16"/>
  <c r="AT10" i="16" s="1"/>
  <c r="W10" i="16"/>
  <c r="P10" i="16"/>
  <c r="N10" i="16"/>
  <c r="JW9" i="16"/>
  <c r="JJ9" i="16"/>
  <c r="IT9" i="16"/>
  <c r="HT9" i="16"/>
  <c r="HA9" i="16"/>
  <c r="GR9" i="16"/>
  <c r="GH9" i="16"/>
  <c r="FJ9" i="16"/>
  <c r="EO9" i="16"/>
  <c r="DX9" i="16"/>
  <c r="DI9" i="16"/>
  <c r="CJ9" i="16"/>
  <c r="BZ9" i="16"/>
  <c r="BM9" i="16"/>
  <c r="AU9" i="16"/>
  <c r="AR9" i="16"/>
  <c r="AT9" i="16" s="1"/>
  <c r="W9" i="16"/>
  <c r="P9" i="16"/>
  <c r="N9" i="16"/>
  <c r="JW8" i="16"/>
  <c r="JK8" i="16"/>
  <c r="JJ8" i="16"/>
  <c r="JA8" i="16"/>
  <c r="JB8" i="16" s="1"/>
  <c r="IU8" i="16"/>
  <c r="IT8" i="16"/>
  <c r="IW8" i="16" s="1"/>
  <c r="HU8" i="16"/>
  <c r="HT8" i="16"/>
  <c r="IL4" i="16" s="1"/>
  <c r="HA8" i="16"/>
  <c r="HC8" i="16" s="1"/>
  <c r="GR8" i="16"/>
  <c r="GH8" i="16"/>
  <c r="FJ8" i="16"/>
  <c r="EO8" i="16"/>
  <c r="DX8" i="16"/>
  <c r="DI8" i="16"/>
  <c r="CJ8" i="16"/>
  <c r="CA8" i="16"/>
  <c r="BM8" i="16"/>
  <c r="AU8" i="16"/>
  <c r="AR8" i="16"/>
  <c r="W8" i="16"/>
  <c r="P8" i="16"/>
  <c r="N8" i="16"/>
  <c r="JW7" i="16"/>
  <c r="JU7" i="16"/>
  <c r="JJ7" i="16"/>
  <c r="JW6" i="16" s="1"/>
  <c r="IT7" i="16"/>
  <c r="HT7" i="16"/>
  <c r="HA7" i="16"/>
  <c r="GR7" i="16"/>
  <c r="GH7" i="16"/>
  <c r="FJ7" i="16"/>
  <c r="EO7" i="16"/>
  <c r="EH7" i="16"/>
  <c r="EI7" i="16" s="1"/>
  <c r="DX7" i="16"/>
  <c r="DI7" i="16"/>
  <c r="CJ7" i="16"/>
  <c r="CA7" i="16"/>
  <c r="BM7" i="16"/>
  <c r="AU7" i="16"/>
  <c r="AR7" i="16"/>
  <c r="AT7" i="16" s="1"/>
  <c r="W7" i="16"/>
  <c r="P7" i="16"/>
  <c r="JJ6" i="16"/>
  <c r="IT6" i="16"/>
  <c r="HT6" i="16"/>
  <c r="HA6" i="16"/>
  <c r="GR6" i="16"/>
  <c r="GH6" i="16"/>
  <c r="FJ6" i="16"/>
  <c r="EO6" i="16"/>
  <c r="EI6" i="16"/>
  <c r="DX6" i="16"/>
  <c r="DI6" i="16"/>
  <c r="CJ6" i="16"/>
  <c r="CA6" i="16"/>
  <c r="BM6" i="16"/>
  <c r="BG6" i="16"/>
  <c r="AU6" i="16"/>
  <c r="AR6" i="16"/>
  <c r="AT6" i="16" s="1"/>
  <c r="W6" i="16"/>
  <c r="P6" i="16"/>
  <c r="N6" i="16"/>
  <c r="JW5" i="16"/>
  <c r="JJ5" i="16"/>
  <c r="IT5" i="16"/>
  <c r="HT5" i="16"/>
  <c r="HK5" i="16"/>
  <c r="HA5" i="16"/>
  <c r="GV5" i="16"/>
  <c r="GV6" i="16" s="1"/>
  <c r="GV7" i="16" s="1"/>
  <c r="GV8" i="16" s="1"/>
  <c r="GV9" i="16" s="1"/>
  <c r="GV10" i="16" s="1"/>
  <c r="GV11" i="16" s="1"/>
  <c r="GV12" i="16" s="1"/>
  <c r="GV13" i="16" s="1"/>
  <c r="GV14" i="16" s="1"/>
  <c r="GV15" i="16" s="1"/>
  <c r="GV16" i="16" s="1"/>
  <c r="GV17" i="16" s="1"/>
  <c r="GV18" i="16" s="1"/>
  <c r="GV19" i="16" s="1"/>
  <c r="GV20" i="16" s="1"/>
  <c r="GV21" i="16" s="1"/>
  <c r="GV22" i="16" s="1"/>
  <c r="GV23" i="16" s="1"/>
  <c r="GV24" i="16" s="1"/>
  <c r="GV25" i="16" s="1"/>
  <c r="GV26" i="16" s="1"/>
  <c r="GV27" i="16" s="1"/>
  <c r="GR5" i="16"/>
  <c r="GH5" i="16"/>
  <c r="GG5" i="16"/>
  <c r="GG6" i="16" s="1"/>
  <c r="GG7" i="16" s="1"/>
  <c r="GG8" i="16" s="1"/>
  <c r="GG9" i="16" s="1"/>
  <c r="GG10" i="16" s="1"/>
  <c r="GG11" i="16" s="1"/>
  <c r="GG12" i="16" s="1"/>
  <c r="GG13" i="16" s="1"/>
  <c r="GG14" i="16" s="1"/>
  <c r="GG15" i="16" s="1"/>
  <c r="GG16" i="16" s="1"/>
  <c r="GG17" i="16" s="1"/>
  <c r="GG18" i="16" s="1"/>
  <c r="GG19" i="16" s="1"/>
  <c r="GG20" i="16" s="1"/>
  <c r="GG21" i="16" s="1"/>
  <c r="GG22" i="16" s="1"/>
  <c r="GG23" i="16" s="1"/>
  <c r="GG24" i="16" s="1"/>
  <c r="GG25" i="16" s="1"/>
  <c r="GG26" i="16" s="1"/>
  <c r="GG27" i="16" s="1"/>
  <c r="FR5" i="16"/>
  <c r="FR6" i="16" s="1"/>
  <c r="FR7" i="16" s="1"/>
  <c r="FR8" i="16" s="1"/>
  <c r="FR9" i="16" s="1"/>
  <c r="FR10" i="16" s="1"/>
  <c r="FR11" i="16" s="1"/>
  <c r="FR12" i="16" s="1"/>
  <c r="FR13" i="16" s="1"/>
  <c r="FR14" i="16" s="1"/>
  <c r="FR15" i="16" s="1"/>
  <c r="FR16" i="16" s="1"/>
  <c r="FR17" i="16" s="1"/>
  <c r="FR18" i="16" s="1"/>
  <c r="FR19" i="16" s="1"/>
  <c r="FR20" i="16" s="1"/>
  <c r="FR21" i="16" s="1"/>
  <c r="FR22" i="16" s="1"/>
  <c r="FR23" i="16" s="1"/>
  <c r="FR24" i="16" s="1"/>
  <c r="FR25" i="16" s="1"/>
  <c r="FR26" i="16" s="1"/>
  <c r="FR27" i="16" s="1"/>
  <c r="FR28" i="16" s="1"/>
  <c r="FJ5" i="16"/>
  <c r="FI5" i="16"/>
  <c r="FI6" i="16" s="1"/>
  <c r="FI7" i="16" s="1"/>
  <c r="FI8" i="16" s="1"/>
  <c r="FI9" i="16" s="1"/>
  <c r="FI10" i="16" s="1"/>
  <c r="FI11" i="16" s="1"/>
  <c r="FI12" i="16" s="1"/>
  <c r="FI13" i="16" s="1"/>
  <c r="FI14" i="16" s="1"/>
  <c r="FI15" i="16" s="1"/>
  <c r="FI16" i="16" s="1"/>
  <c r="FI17" i="16" s="1"/>
  <c r="FI18" i="16" s="1"/>
  <c r="FI19" i="16" s="1"/>
  <c r="FI20" i="16" s="1"/>
  <c r="FI21" i="16" s="1"/>
  <c r="FI22" i="16" s="1"/>
  <c r="FI23" i="16" s="1"/>
  <c r="FI24" i="16" s="1"/>
  <c r="FI25" i="16" s="1"/>
  <c r="FI26" i="16" s="1"/>
  <c r="FI27" i="16" s="1"/>
  <c r="FI28" i="16" s="1"/>
  <c r="FE5" i="16"/>
  <c r="EO5" i="16"/>
  <c r="EN5" i="16"/>
  <c r="EN6" i="16" s="1"/>
  <c r="EN7" i="16" s="1"/>
  <c r="EN8" i="16" s="1"/>
  <c r="EN9" i="16" s="1"/>
  <c r="EN10" i="16" s="1"/>
  <c r="EN11" i="16" s="1"/>
  <c r="EN12" i="16" s="1"/>
  <c r="EN13" i="16" s="1"/>
  <c r="EN14" i="16" s="1"/>
  <c r="EN15" i="16" s="1"/>
  <c r="EN16" i="16" s="1"/>
  <c r="EN17" i="16" s="1"/>
  <c r="EN18" i="16" s="1"/>
  <c r="EN19" i="16" s="1"/>
  <c r="EN20" i="16" s="1"/>
  <c r="EN21" i="16" s="1"/>
  <c r="EN22" i="16" s="1"/>
  <c r="EN23" i="16" s="1"/>
  <c r="EN24" i="16" s="1"/>
  <c r="EN25" i="16" s="1"/>
  <c r="EN26" i="16" s="1"/>
  <c r="EN27" i="16" s="1"/>
  <c r="EN28" i="16" s="1"/>
  <c r="EI5" i="16"/>
  <c r="DX5" i="16"/>
  <c r="DW5" i="16"/>
  <c r="DW6" i="16" s="1"/>
  <c r="DW7" i="16" s="1"/>
  <c r="DW8" i="16" s="1"/>
  <c r="DW9" i="16" s="1"/>
  <c r="DW10" i="16" s="1"/>
  <c r="DW11" i="16" s="1"/>
  <c r="DW12" i="16" s="1"/>
  <c r="DW13" i="16" s="1"/>
  <c r="DW14" i="16" s="1"/>
  <c r="DW15" i="16" s="1"/>
  <c r="DW16" i="16" s="1"/>
  <c r="DW17" i="16" s="1"/>
  <c r="DW18" i="16" s="1"/>
  <c r="DW19" i="16" s="1"/>
  <c r="DW20" i="16" s="1"/>
  <c r="DW21" i="16" s="1"/>
  <c r="DW22" i="16" s="1"/>
  <c r="DW23" i="16" s="1"/>
  <c r="DW24" i="16" s="1"/>
  <c r="DW25" i="16" s="1"/>
  <c r="DW26" i="16" s="1"/>
  <c r="DW27" i="16" s="1"/>
  <c r="DW28" i="16" s="1"/>
  <c r="DI5" i="16"/>
  <c r="CJ5" i="16"/>
  <c r="CI5" i="16"/>
  <c r="CI6" i="16" s="1"/>
  <c r="CI7" i="16" s="1"/>
  <c r="CI8" i="16" s="1"/>
  <c r="CI9" i="16" s="1"/>
  <c r="CI10" i="16" s="1"/>
  <c r="CI11" i="16" s="1"/>
  <c r="CI12" i="16" s="1"/>
  <c r="CI13" i="16" s="1"/>
  <c r="CI14" i="16" s="1"/>
  <c r="CI15" i="16" s="1"/>
  <c r="CI16" i="16" s="1"/>
  <c r="CI17" i="16" s="1"/>
  <c r="CI18" i="16" s="1"/>
  <c r="CI19" i="16" s="1"/>
  <c r="CI20" i="16" s="1"/>
  <c r="CI21" i="16" s="1"/>
  <c r="CI22" i="16" s="1"/>
  <c r="CI23" i="16" s="1"/>
  <c r="CI24" i="16" s="1"/>
  <c r="CI25" i="16" s="1"/>
  <c r="CI26" i="16" s="1"/>
  <c r="CI27" i="16" s="1"/>
  <c r="CI28" i="16" s="1"/>
  <c r="CA5" i="16"/>
  <c r="BX5" i="16"/>
  <c r="BX6" i="16" s="1"/>
  <c r="BX7" i="16" s="1"/>
  <c r="BX8" i="16" s="1"/>
  <c r="BM5" i="16"/>
  <c r="BL5" i="16"/>
  <c r="BL6" i="16" s="1"/>
  <c r="BL7" i="16" s="1"/>
  <c r="BL8" i="16" s="1"/>
  <c r="BL9" i="16" s="1"/>
  <c r="BL10" i="16" s="1"/>
  <c r="BL11" i="16" s="1"/>
  <c r="BL12" i="16" s="1"/>
  <c r="BL13" i="16" s="1"/>
  <c r="BL14" i="16" s="1"/>
  <c r="BL15" i="16" s="1"/>
  <c r="BL16" i="16" s="1"/>
  <c r="BL17" i="16" s="1"/>
  <c r="BL18" i="16" s="1"/>
  <c r="BL19" i="16" s="1"/>
  <c r="BL20" i="16" s="1"/>
  <c r="BL21" i="16" s="1"/>
  <c r="BL22" i="16" s="1"/>
  <c r="BL23" i="16" s="1"/>
  <c r="BL24" i="16" s="1"/>
  <c r="BL25" i="16" s="1"/>
  <c r="BL26" i="16" s="1"/>
  <c r="BL27" i="16" s="1"/>
  <c r="BL28" i="16" s="1"/>
  <c r="AU5" i="16"/>
  <c r="AR5" i="16"/>
  <c r="AT5" i="16" s="1"/>
  <c r="AQ5" i="16"/>
  <c r="AQ6" i="16" s="1"/>
  <c r="AQ7" i="16" s="1"/>
  <c r="AQ8" i="16" s="1"/>
  <c r="AQ9" i="16" s="1"/>
  <c r="AQ10" i="16" s="1"/>
  <c r="AQ11" i="16" s="1"/>
  <c r="AQ12" i="16" s="1"/>
  <c r="AQ13" i="16" s="1"/>
  <c r="AQ14" i="16" s="1"/>
  <c r="AQ15" i="16" s="1"/>
  <c r="AQ16" i="16" s="1"/>
  <c r="AQ17" i="16" s="1"/>
  <c r="AQ18" i="16" s="1"/>
  <c r="AQ19" i="16" s="1"/>
  <c r="AQ20" i="16" s="1"/>
  <c r="AQ21" i="16" s="1"/>
  <c r="AQ22" i="16" s="1"/>
  <c r="AQ23" i="16" s="1"/>
  <c r="AQ24" i="16" s="1"/>
  <c r="AQ25" i="16" s="1"/>
  <c r="AQ26" i="16" s="1"/>
  <c r="AQ27" i="16" s="1"/>
  <c r="AQ28" i="16" s="1"/>
  <c r="W5" i="16"/>
  <c r="V5" i="16"/>
  <c r="V6" i="16" s="1"/>
  <c r="V7" i="16" s="1"/>
  <c r="V8" i="16" s="1"/>
  <c r="V9" i="16" s="1"/>
  <c r="V10" i="16" s="1"/>
  <c r="V11" i="16" s="1"/>
  <c r="V12" i="16" s="1"/>
  <c r="V13" i="16" s="1"/>
  <c r="V14" i="16" s="1"/>
  <c r="V15" i="16" s="1"/>
  <c r="V16" i="16" s="1"/>
  <c r="V17" i="16" s="1"/>
  <c r="V18" i="16" s="1"/>
  <c r="V19" i="16" s="1"/>
  <c r="V20" i="16" s="1"/>
  <c r="V21" i="16" s="1"/>
  <c r="V22" i="16" s="1"/>
  <c r="V23" i="16" s="1"/>
  <c r="V24" i="16" s="1"/>
  <c r="V25" i="16" s="1"/>
  <c r="V26" i="16" s="1"/>
  <c r="V27" i="16" s="1"/>
  <c r="V28" i="16" s="1"/>
  <c r="P5" i="16"/>
  <c r="N5" i="16"/>
  <c r="JW4" i="16"/>
  <c r="JJ4" i="16"/>
  <c r="IT4" i="16"/>
  <c r="ID4" i="16"/>
  <c r="HT4" i="16"/>
  <c r="HK4" i="16"/>
  <c r="HA4" i="16"/>
  <c r="GR4" i="16"/>
  <c r="GR28" i="16" s="1"/>
  <c r="GH4" i="16"/>
  <c r="FJ4" i="16"/>
  <c r="EO4" i="16"/>
  <c r="EI4" i="16"/>
  <c r="DX4" i="16"/>
  <c r="DI4" i="16"/>
  <c r="CJ4" i="16"/>
  <c r="CA4" i="16"/>
  <c r="BM4" i="16"/>
  <c r="BF4" i="16"/>
  <c r="AU4" i="16"/>
  <c r="AR4" i="16"/>
  <c r="W4" i="16"/>
  <c r="P4" i="16"/>
  <c r="N4" i="16"/>
  <c r="JW3" i="16"/>
  <c r="JY3" i="16" s="1"/>
  <c r="JI2" i="16"/>
  <c r="HS2" i="16"/>
  <c r="FL2" i="16"/>
  <c r="DC2" i="16"/>
  <c r="DB2" i="16"/>
  <c r="DA2" i="16"/>
  <c r="BQ2" i="16"/>
  <c r="BO2" i="16"/>
  <c r="NI35" i="15"/>
  <c r="FL35" i="15"/>
  <c r="FK35" i="15"/>
  <c r="FJ35" i="15"/>
  <c r="FM35" i="15" s="1"/>
  <c r="NI34" i="15"/>
  <c r="FM34" i="15"/>
  <c r="FM33" i="15"/>
  <c r="NI32" i="15"/>
  <c r="NK31" i="15"/>
  <c r="NL31" i="15" s="1"/>
  <c r="NM31" i="15" s="1"/>
  <c r="NI31" i="15"/>
  <c r="FL31" i="15"/>
  <c r="FL37" i="15" s="1"/>
  <c r="FK31" i="15"/>
  <c r="FK37" i="15" s="1"/>
  <c r="FJ31" i="15"/>
  <c r="FM30" i="15"/>
  <c r="NC29" i="15"/>
  <c r="NB29" i="15"/>
  <c r="MZ29" i="15"/>
  <c r="FM29" i="15"/>
  <c r="FM28" i="15"/>
  <c r="NL27" i="15"/>
  <c r="NM27" i="15" s="1"/>
  <c r="NC27" i="15"/>
  <c r="FM27" i="15"/>
  <c r="NL26" i="15"/>
  <c r="NM26" i="15" s="1"/>
  <c r="NK26" i="15"/>
  <c r="NC26" i="15"/>
  <c r="KP26" i="15"/>
  <c r="KF26" i="15"/>
  <c r="JS26" i="15"/>
  <c r="JQ26" i="15"/>
  <c r="JO26" i="15"/>
  <c r="JM26" i="15"/>
  <c r="JL26" i="15"/>
  <c r="JK26" i="15"/>
  <c r="JI26" i="15"/>
  <c r="AJ13" i="15" s="1"/>
  <c r="JG26" i="15"/>
  <c r="AI13" i="15" s="1"/>
  <c r="JE26" i="15"/>
  <c r="IU26" i="15"/>
  <c r="IU27" i="15" s="1"/>
  <c r="IT26" i="15"/>
  <c r="IS26" i="15"/>
  <c r="IR26" i="15"/>
  <c r="IQ26" i="15"/>
  <c r="IP26" i="15"/>
  <c r="IN26" i="15"/>
  <c r="IV26" i="15" s="1"/>
  <c r="IB26" i="15"/>
  <c r="IA26" i="15"/>
  <c r="HZ26" i="15"/>
  <c r="IC26" i="15" s="1"/>
  <c r="JC26" i="15" s="1"/>
  <c r="HY26" i="15"/>
  <c r="FM26" i="15"/>
  <c r="NI25" i="15"/>
  <c r="KY25" i="15"/>
  <c r="KX25" i="15"/>
  <c r="KX26" i="15" s="1"/>
  <c r="KY27" i="15" s="1"/>
  <c r="KW25" i="15"/>
  <c r="KV25" i="15"/>
  <c r="KV26" i="15" s="1"/>
  <c r="KW27" i="15" s="1"/>
  <c r="KU25" i="15"/>
  <c r="KT25" i="15"/>
  <c r="KP25" i="15"/>
  <c r="KE25" i="15"/>
  <c r="KC25" i="15"/>
  <c r="JU25" i="15"/>
  <c r="MI25" i="15" s="1"/>
  <c r="IV25" i="15"/>
  <c r="MF25" i="15" s="1"/>
  <c r="ML25" i="15" s="1"/>
  <c r="ID25" i="15"/>
  <c r="IC25" i="15"/>
  <c r="JC25" i="15" s="1"/>
  <c r="JJ25" i="15" s="1"/>
  <c r="NI24" i="15"/>
  <c r="KX24" i="15"/>
  <c r="KV24" i="15"/>
  <c r="KT24" i="15"/>
  <c r="KP24" i="15"/>
  <c r="KE24" i="15"/>
  <c r="KC24" i="15"/>
  <c r="KD24" i="15" s="1"/>
  <c r="KG24" i="15" s="1"/>
  <c r="LG25" i="15" s="1"/>
  <c r="LP25" i="15" s="1"/>
  <c r="JU24" i="15"/>
  <c r="MI24" i="15" s="1"/>
  <c r="IV24" i="15"/>
  <c r="MF24" i="15" s="1"/>
  <c r="ML24" i="15" s="1"/>
  <c r="ID24" i="15"/>
  <c r="IC24" i="15"/>
  <c r="JC24" i="15" s="1"/>
  <c r="JJ24" i="15" s="1"/>
  <c r="LN25" i="15" s="1"/>
  <c r="FL24" i="15"/>
  <c r="FK24" i="15"/>
  <c r="FJ24" i="15"/>
  <c r="FM24" i="15" s="1"/>
  <c r="NK23" i="15"/>
  <c r="NL23" i="15" s="1"/>
  <c r="NM23" i="15" s="1"/>
  <c r="NI23" i="15"/>
  <c r="KX23" i="15"/>
  <c r="KV23" i="15"/>
  <c r="KT23" i="15"/>
  <c r="KP23" i="15"/>
  <c r="KE23" i="15"/>
  <c r="KC23" i="15"/>
  <c r="KD23" i="15" s="1"/>
  <c r="KG23" i="15" s="1"/>
  <c r="LG24" i="15" s="1"/>
  <c r="LP24" i="15" s="1"/>
  <c r="JU23" i="15"/>
  <c r="MI23" i="15" s="1"/>
  <c r="IV23" i="15"/>
  <c r="MF23" i="15" s="1"/>
  <c r="ML23" i="15" s="1"/>
  <c r="ID23" i="15"/>
  <c r="IC23" i="15"/>
  <c r="JC23" i="15" s="1"/>
  <c r="JJ23" i="15" s="1"/>
  <c r="LN24" i="15" s="1"/>
  <c r="FM23" i="15"/>
  <c r="KX22" i="15"/>
  <c r="KV22" i="15"/>
  <c r="KT22" i="15"/>
  <c r="KP22" i="15"/>
  <c r="KE22" i="15"/>
  <c r="KC22" i="15"/>
  <c r="KD22" i="15" s="1"/>
  <c r="KG22" i="15" s="1"/>
  <c r="LG23" i="15" s="1"/>
  <c r="LP23" i="15" s="1"/>
  <c r="JU22" i="15"/>
  <c r="MI22" i="15" s="1"/>
  <c r="IV22" i="15"/>
  <c r="MF22" i="15" s="1"/>
  <c r="ID22" i="15"/>
  <c r="IC22" i="15"/>
  <c r="JC22" i="15" s="1"/>
  <c r="JJ22" i="15" s="1"/>
  <c r="LN23" i="15" s="1"/>
  <c r="FM22" i="15"/>
  <c r="NI21" i="15"/>
  <c r="KX21" i="15"/>
  <c r="KV21" i="15"/>
  <c r="KT21" i="15"/>
  <c r="KP21" i="15"/>
  <c r="KE21" i="15"/>
  <c r="KC21" i="15"/>
  <c r="KD21" i="15" s="1"/>
  <c r="KG21" i="15" s="1"/>
  <c r="LG22" i="15" s="1"/>
  <c r="LP22" i="15" s="1"/>
  <c r="JU21" i="15"/>
  <c r="MI21" i="15" s="1"/>
  <c r="IV21" i="15"/>
  <c r="MF21" i="15" s="1"/>
  <c r="ML21" i="15" s="1"/>
  <c r="ID21" i="15"/>
  <c r="IC21" i="15"/>
  <c r="JC21" i="15" s="1"/>
  <c r="JJ21" i="15" s="1"/>
  <c r="LN22" i="15" s="1"/>
  <c r="NI20" i="15"/>
  <c r="KX20" i="15"/>
  <c r="KV20" i="15"/>
  <c r="KT20" i="15"/>
  <c r="KP20" i="15"/>
  <c r="KE20" i="15"/>
  <c r="KC20" i="15"/>
  <c r="KD20" i="15" s="1"/>
  <c r="KG20" i="15" s="1"/>
  <c r="LG21" i="15" s="1"/>
  <c r="LP21" i="15" s="1"/>
  <c r="JU20" i="15"/>
  <c r="MI20" i="15" s="1"/>
  <c r="IV20" i="15"/>
  <c r="MF20" i="15" s="1"/>
  <c r="ML20" i="15" s="1"/>
  <c r="ID20" i="15"/>
  <c r="IC20" i="15"/>
  <c r="JC20" i="15" s="1"/>
  <c r="JJ20" i="15" s="1"/>
  <c r="LN21" i="15" s="1"/>
  <c r="FL20" i="15"/>
  <c r="FK20" i="15"/>
  <c r="FJ20" i="15"/>
  <c r="FM20" i="15" s="1"/>
  <c r="CB20" i="15"/>
  <c r="BY20" i="15"/>
  <c r="BV20" i="15"/>
  <c r="BR20" i="15"/>
  <c r="BN20" i="15"/>
  <c r="BJ20" i="15"/>
  <c r="BF20" i="15"/>
  <c r="BB20" i="15"/>
  <c r="AX20" i="15"/>
  <c r="H20" i="15"/>
  <c r="NI19" i="15"/>
  <c r="KX19" i="15"/>
  <c r="KV19" i="15"/>
  <c r="KT19" i="15"/>
  <c r="KP19" i="15"/>
  <c r="KE19" i="15"/>
  <c r="KC19" i="15"/>
  <c r="KD19" i="15" s="1"/>
  <c r="KG19" i="15" s="1"/>
  <c r="LG20" i="15" s="1"/>
  <c r="LP20" i="15" s="1"/>
  <c r="JU19" i="15"/>
  <c r="MI19" i="15" s="1"/>
  <c r="IV19" i="15"/>
  <c r="MF19" i="15" s="1"/>
  <c r="ML19" i="15" s="1"/>
  <c r="ID19" i="15"/>
  <c r="IC19" i="15"/>
  <c r="JC19" i="15" s="1"/>
  <c r="JJ19" i="15" s="1"/>
  <c r="LN20" i="15" s="1"/>
  <c r="FM19" i="15"/>
  <c r="CB19" i="15"/>
  <c r="BY19" i="15"/>
  <c r="BV19" i="15"/>
  <c r="BR19" i="15"/>
  <c r="BN19" i="15"/>
  <c r="BJ19" i="15"/>
  <c r="BF19" i="15"/>
  <c r="BB19" i="15"/>
  <c r="AX19" i="15"/>
  <c r="H19" i="15"/>
  <c r="NI18" i="15"/>
  <c r="KX18" i="15"/>
  <c r="KV18" i="15"/>
  <c r="KT18" i="15"/>
  <c r="KP18" i="15"/>
  <c r="KE18" i="15"/>
  <c r="KC18" i="15"/>
  <c r="KD18" i="15" s="1"/>
  <c r="KG18" i="15" s="1"/>
  <c r="LG19" i="15" s="1"/>
  <c r="LP19" i="15" s="1"/>
  <c r="JU18" i="15"/>
  <c r="MI18" i="15" s="1"/>
  <c r="IV18" i="15"/>
  <c r="MF18" i="15" s="1"/>
  <c r="ML18" i="15" s="1"/>
  <c r="ID18" i="15"/>
  <c r="IC18" i="15"/>
  <c r="JC18" i="15" s="1"/>
  <c r="JJ18" i="15" s="1"/>
  <c r="LN19" i="15" s="1"/>
  <c r="FM18" i="15"/>
  <c r="CB18" i="15"/>
  <c r="BY18" i="15"/>
  <c r="BV18" i="15"/>
  <c r="BR18" i="15"/>
  <c r="BN18" i="15"/>
  <c r="BJ18" i="15"/>
  <c r="BF18" i="15"/>
  <c r="BB18" i="15"/>
  <c r="AX18" i="15"/>
  <c r="NI17" i="15"/>
  <c r="KX17" i="15"/>
  <c r="KV17" i="15"/>
  <c r="KT17" i="15"/>
  <c r="KP17" i="15"/>
  <c r="KE17" i="15"/>
  <c r="KC17" i="15"/>
  <c r="KD17" i="15" s="1"/>
  <c r="KG17" i="15" s="1"/>
  <c r="LG18" i="15" s="1"/>
  <c r="LP18" i="15" s="1"/>
  <c r="JU17" i="15"/>
  <c r="MI17" i="15" s="1"/>
  <c r="IV17" i="15"/>
  <c r="MF17" i="15" s="1"/>
  <c r="ML17" i="15" s="1"/>
  <c r="ID17" i="15"/>
  <c r="IC17" i="15"/>
  <c r="JC17" i="15" s="1"/>
  <c r="JJ17" i="15" s="1"/>
  <c r="LN18" i="15" s="1"/>
  <c r="FM17" i="15"/>
  <c r="CB17" i="15"/>
  <c r="BY17" i="15"/>
  <c r="BV17" i="15"/>
  <c r="BR17" i="15"/>
  <c r="BN17" i="15"/>
  <c r="BJ17" i="15"/>
  <c r="BF17" i="15"/>
  <c r="BB17" i="15"/>
  <c r="AX17" i="15"/>
  <c r="AN17" i="15"/>
  <c r="AN18" i="15" s="1"/>
  <c r="AN19" i="15" s="1"/>
  <c r="AN20" i="15" s="1"/>
  <c r="H17" i="15"/>
  <c r="NI16" i="15"/>
  <c r="KX16" i="15"/>
  <c r="KV16" i="15"/>
  <c r="KT16" i="15"/>
  <c r="KP16" i="15"/>
  <c r="KE16" i="15"/>
  <c r="KC16" i="15"/>
  <c r="KD16" i="15" s="1"/>
  <c r="KG16" i="15" s="1"/>
  <c r="LG17" i="15" s="1"/>
  <c r="LP17" i="15" s="1"/>
  <c r="JU16" i="15"/>
  <c r="MI16" i="15" s="1"/>
  <c r="IV16" i="15"/>
  <c r="MF16" i="15" s="1"/>
  <c r="ML16" i="15" s="1"/>
  <c r="ID16" i="15"/>
  <c r="IC16" i="15"/>
  <c r="JC16" i="15" s="1"/>
  <c r="JJ16" i="15" s="1"/>
  <c r="LN17" i="15" s="1"/>
  <c r="FM16" i="15"/>
  <c r="CB16" i="15"/>
  <c r="BY16" i="15"/>
  <c r="BV16" i="15"/>
  <c r="BR16" i="15"/>
  <c r="BN16" i="15"/>
  <c r="BJ16" i="15"/>
  <c r="BF16" i="15"/>
  <c r="BB16" i="15"/>
  <c r="AX16" i="15"/>
  <c r="AN16" i="15"/>
  <c r="NI15" i="15"/>
  <c r="KX15" i="15"/>
  <c r="KV15" i="15"/>
  <c r="KT15" i="15"/>
  <c r="KP15" i="15"/>
  <c r="KE15" i="15"/>
  <c r="KC15" i="15"/>
  <c r="KD15" i="15" s="1"/>
  <c r="KG15" i="15" s="1"/>
  <c r="LG16" i="15" s="1"/>
  <c r="LP16" i="15" s="1"/>
  <c r="JU15" i="15"/>
  <c r="MI15" i="15" s="1"/>
  <c r="IV15" i="15"/>
  <c r="MF15" i="15" s="1"/>
  <c r="ML15" i="15" s="1"/>
  <c r="ID15" i="15"/>
  <c r="IC15" i="15"/>
  <c r="JC15" i="15" s="1"/>
  <c r="JJ15" i="15" s="1"/>
  <c r="LN16" i="15" s="1"/>
  <c r="FM15" i="15"/>
  <c r="CB15" i="15"/>
  <c r="BY15" i="15"/>
  <c r="BV15" i="15"/>
  <c r="BR15" i="15"/>
  <c r="BN15" i="15"/>
  <c r="BJ15" i="15"/>
  <c r="BF15" i="15"/>
  <c r="BB15" i="15"/>
  <c r="AX15" i="15"/>
  <c r="NI14" i="15"/>
  <c r="KX14" i="15"/>
  <c r="KV14" i="15"/>
  <c r="KT14" i="15"/>
  <c r="KP14" i="15"/>
  <c r="KE14" i="15"/>
  <c r="KC14" i="15"/>
  <c r="KD14" i="15" s="1"/>
  <c r="KG14" i="15" s="1"/>
  <c r="LG15" i="15" s="1"/>
  <c r="LP15" i="15" s="1"/>
  <c r="JU14" i="15"/>
  <c r="MI14" i="15" s="1"/>
  <c r="IV14" i="15"/>
  <c r="MF14" i="15" s="1"/>
  <c r="ML14" i="15" s="1"/>
  <c r="ID14" i="15"/>
  <c r="IC14" i="15"/>
  <c r="JC14" i="15" s="1"/>
  <c r="JJ14" i="15" s="1"/>
  <c r="LN15" i="15" s="1"/>
  <c r="GD14" i="15"/>
  <c r="GC14" i="15"/>
  <c r="GB14" i="15"/>
  <c r="GA14" i="15"/>
  <c r="FZ14" i="15"/>
  <c r="FY14" i="15"/>
  <c r="FX14" i="15"/>
  <c r="FM14" i="15"/>
  <c r="CB14" i="15"/>
  <c r="BY14" i="15"/>
  <c r="BV14" i="15"/>
  <c r="BR14" i="15"/>
  <c r="BN14" i="15"/>
  <c r="BJ14" i="15"/>
  <c r="BF14" i="15"/>
  <c r="BB14" i="15"/>
  <c r="AX14" i="15"/>
  <c r="NI13" i="15"/>
  <c r="KX13" i="15"/>
  <c r="KV13" i="15"/>
  <c r="KT13" i="15"/>
  <c r="KP13" i="15"/>
  <c r="KE13" i="15"/>
  <c r="KC13" i="15"/>
  <c r="KD13" i="15" s="1"/>
  <c r="KG13" i="15" s="1"/>
  <c r="LG14" i="15" s="1"/>
  <c r="LP14" i="15" s="1"/>
  <c r="JU13" i="15"/>
  <c r="MI13" i="15" s="1"/>
  <c r="IV13" i="15"/>
  <c r="MF13" i="15" s="1"/>
  <c r="ML13" i="15" s="1"/>
  <c r="ID13" i="15"/>
  <c r="IC13" i="15"/>
  <c r="JC13" i="15" s="1"/>
  <c r="JJ13" i="15" s="1"/>
  <c r="LN14" i="15" s="1"/>
  <c r="GE13" i="15"/>
  <c r="FM13" i="15"/>
  <c r="CB13" i="15"/>
  <c r="BY13" i="15"/>
  <c r="BV13" i="15"/>
  <c r="BR13" i="15"/>
  <c r="BN13" i="15"/>
  <c r="BJ13" i="15"/>
  <c r="BF13" i="15"/>
  <c r="BB13" i="15"/>
  <c r="AX13" i="15"/>
  <c r="NI12" i="15"/>
  <c r="MT12" i="15"/>
  <c r="MT13" i="15" s="1"/>
  <c r="D11" i="16" s="1"/>
  <c r="FE4" i="16" s="1"/>
  <c r="FE6" i="16" s="1"/>
  <c r="FM28" i="16" s="1"/>
  <c r="FN28" i="16" s="1"/>
  <c r="KX12" i="15"/>
  <c r="KV12" i="15"/>
  <c r="KT12" i="15"/>
  <c r="KP12" i="15"/>
  <c r="KE12" i="15"/>
  <c r="KC12" i="15"/>
  <c r="KD12" i="15" s="1"/>
  <c r="KG12" i="15" s="1"/>
  <c r="LG13" i="15" s="1"/>
  <c r="LP13" i="15" s="1"/>
  <c r="JU12" i="15"/>
  <c r="MI12" i="15" s="1"/>
  <c r="IV12" i="15"/>
  <c r="MF12" i="15" s="1"/>
  <c r="ML12" i="15" s="1"/>
  <c r="ID12" i="15"/>
  <c r="IC12" i="15"/>
  <c r="JC12" i="15" s="1"/>
  <c r="JJ12" i="15" s="1"/>
  <c r="LN13" i="15" s="1"/>
  <c r="HD12" i="15"/>
  <c r="HC12" i="15"/>
  <c r="HB12" i="15"/>
  <c r="GZ12" i="15"/>
  <c r="GY12" i="15"/>
  <c r="GX12" i="15"/>
  <c r="GQ12" i="15"/>
  <c r="HD13" i="15" s="1"/>
  <c r="GP12" i="15"/>
  <c r="HC13" i="15" s="1"/>
  <c r="GO12" i="15"/>
  <c r="HB13" i="15" s="1"/>
  <c r="GM12" i="15"/>
  <c r="GZ13" i="15" s="1"/>
  <c r="GL12" i="15"/>
  <c r="GY13" i="15" s="1"/>
  <c r="GK12" i="15"/>
  <c r="GX13" i="15" s="1"/>
  <c r="HA13" i="15" s="1"/>
  <c r="GE12" i="15"/>
  <c r="FM12" i="15"/>
  <c r="DZ12" i="15"/>
  <c r="DY12" i="15"/>
  <c r="DX12" i="15"/>
  <c r="DW12" i="15"/>
  <c r="DV12" i="15"/>
  <c r="F17" i="15" s="1"/>
  <c r="DU12" i="15"/>
  <c r="DT12" i="15"/>
  <c r="DS12" i="15"/>
  <c r="Z12" i="15"/>
  <c r="Y12" i="15"/>
  <c r="X12" i="15"/>
  <c r="NI11" i="15"/>
  <c r="NC11" i="15"/>
  <c r="KX11" i="15"/>
  <c r="KV11" i="15"/>
  <c r="KT11" i="15"/>
  <c r="KP11" i="15"/>
  <c r="KE11" i="15"/>
  <c r="KC11" i="15"/>
  <c r="KD11" i="15" s="1"/>
  <c r="KG11" i="15" s="1"/>
  <c r="LG12" i="15" s="1"/>
  <c r="LP12" i="15" s="1"/>
  <c r="JU11" i="15"/>
  <c r="MI11" i="15" s="1"/>
  <c r="IV11" i="15"/>
  <c r="MF11" i="15" s="1"/>
  <c r="ML11" i="15" s="1"/>
  <c r="ID11" i="15"/>
  <c r="IC11" i="15"/>
  <c r="JC11" i="15" s="1"/>
  <c r="JJ11" i="15" s="1"/>
  <c r="LN12" i="15" s="1"/>
  <c r="HE11" i="15"/>
  <c r="HA11" i="15"/>
  <c r="GR11" i="15"/>
  <c r="GN11" i="15"/>
  <c r="GE11" i="15"/>
  <c r="FM11" i="15"/>
  <c r="CB11" i="15"/>
  <c r="BY11" i="15"/>
  <c r="BV11" i="15"/>
  <c r="BR11" i="15"/>
  <c r="BN11" i="15"/>
  <c r="BJ11" i="15"/>
  <c r="BF11" i="15"/>
  <c r="BB11" i="15"/>
  <c r="AX11" i="15"/>
  <c r="AJ11" i="15"/>
  <c r="AI11" i="15"/>
  <c r="AH11" i="15"/>
  <c r="N11" i="15"/>
  <c r="M11" i="15"/>
  <c r="J11" i="15"/>
  <c r="NI10" i="15"/>
  <c r="KX10" i="15"/>
  <c r="KV10" i="15"/>
  <c r="KT10" i="15"/>
  <c r="KP10" i="15"/>
  <c r="KE10" i="15"/>
  <c r="KC10" i="15"/>
  <c r="KD10" i="15" s="1"/>
  <c r="KG10" i="15" s="1"/>
  <c r="LG11" i="15" s="1"/>
  <c r="LP11" i="15" s="1"/>
  <c r="JU10" i="15"/>
  <c r="MI10" i="15" s="1"/>
  <c r="IV10" i="15"/>
  <c r="MF10" i="15" s="1"/>
  <c r="ML10" i="15" s="1"/>
  <c r="ID10" i="15"/>
  <c r="IC10" i="15"/>
  <c r="JC10" i="15" s="1"/>
  <c r="JJ10" i="15" s="1"/>
  <c r="LN11" i="15" s="1"/>
  <c r="HE10" i="15"/>
  <c r="HA10" i="15"/>
  <c r="GR10" i="15"/>
  <c r="GN10" i="15"/>
  <c r="GE10" i="15"/>
  <c r="FM10" i="15"/>
  <c r="CB10" i="15"/>
  <c r="BY10" i="15"/>
  <c r="BV10" i="15"/>
  <c r="BR10" i="15"/>
  <c r="BN10" i="15"/>
  <c r="BJ10" i="15"/>
  <c r="BF10" i="15"/>
  <c r="BB10" i="15"/>
  <c r="AX10" i="15"/>
  <c r="AA10" i="15"/>
  <c r="NI9" i="15"/>
  <c r="MT9" i="15"/>
  <c r="KX9" i="15"/>
  <c r="KV9" i="15"/>
  <c r="KT9" i="15"/>
  <c r="KP9" i="15"/>
  <c r="KE9" i="15"/>
  <c r="KC9" i="15"/>
  <c r="KD9" i="15" s="1"/>
  <c r="KG9" i="15" s="1"/>
  <c r="LG10" i="15" s="1"/>
  <c r="LP10" i="15" s="1"/>
  <c r="JU9" i="15"/>
  <c r="MI9" i="15" s="1"/>
  <c r="IV9" i="15"/>
  <c r="MF9" i="15" s="1"/>
  <c r="ML9" i="15" s="1"/>
  <c r="ID9" i="15"/>
  <c r="IC9" i="15"/>
  <c r="JC9" i="15" s="1"/>
  <c r="JJ9" i="15" s="1"/>
  <c r="LN10" i="15" s="1"/>
  <c r="HQ9" i="15"/>
  <c r="HP9" i="15"/>
  <c r="HO9" i="15"/>
  <c r="HR9" i="15" s="1"/>
  <c r="HM9" i="15"/>
  <c r="HL9" i="15"/>
  <c r="HK9" i="15"/>
  <c r="HN9" i="15" s="1"/>
  <c r="HE9" i="15"/>
  <c r="HA9" i="15"/>
  <c r="GR9" i="15"/>
  <c r="GN9" i="15"/>
  <c r="GE9" i="15"/>
  <c r="FM9" i="15"/>
  <c r="FC9" i="15"/>
  <c r="EY9" i="15"/>
  <c r="EX9" i="15"/>
  <c r="EW9" i="15"/>
  <c r="EU9" i="15"/>
  <c r="ET9" i="15"/>
  <c r="ES9" i="15"/>
  <c r="EL9" i="15"/>
  <c r="EK9" i="15"/>
  <c r="EJ9" i="15"/>
  <c r="EH9" i="15"/>
  <c r="EG9" i="15"/>
  <c r="EF9" i="15"/>
  <c r="DM9" i="15"/>
  <c r="H16" i="15" s="1"/>
  <c r="DL9" i="15"/>
  <c r="DK9" i="15"/>
  <c r="F16" i="15" s="1"/>
  <c r="DJ9" i="15"/>
  <c r="DD9" i="15"/>
  <c r="H15" i="15" s="1"/>
  <c r="DC9" i="15"/>
  <c r="DB9" i="15"/>
  <c r="DA9" i="15"/>
  <c r="F15" i="15" s="1"/>
  <c r="CZ9" i="15"/>
  <c r="CS9" i="15"/>
  <c r="CR9" i="15"/>
  <c r="CQ9" i="15"/>
  <c r="CO9" i="15"/>
  <c r="CN9" i="15"/>
  <c r="CM9" i="15"/>
  <c r="CB9" i="15"/>
  <c r="BY9" i="15"/>
  <c r="BV9" i="15"/>
  <c r="BR9" i="15"/>
  <c r="BN9" i="15"/>
  <c r="BJ9" i="15"/>
  <c r="BF9" i="15"/>
  <c r="BB9" i="15"/>
  <c r="AX9" i="15"/>
  <c r="N9" i="15"/>
  <c r="NI8" i="15"/>
  <c r="NH8" i="15"/>
  <c r="NH9" i="15" s="1"/>
  <c r="NH10" i="15" s="1"/>
  <c r="NH11" i="15" s="1"/>
  <c r="NH12" i="15" s="1"/>
  <c r="NH13" i="15" s="1"/>
  <c r="NH14" i="15" s="1"/>
  <c r="NH15" i="15" s="1"/>
  <c r="NH16" i="15" s="1"/>
  <c r="NH17" i="15" s="1"/>
  <c r="NH18" i="15" s="1"/>
  <c r="NH19" i="15" s="1"/>
  <c r="NH20" i="15" s="1"/>
  <c r="NH21" i="15" s="1"/>
  <c r="NH22" i="15" s="1"/>
  <c r="NH23" i="15" s="1"/>
  <c r="NH24" i="15" s="1"/>
  <c r="NH25" i="15" s="1"/>
  <c r="NH26" i="15" s="1"/>
  <c r="NH27" i="15" s="1"/>
  <c r="NH28" i="15" s="1"/>
  <c r="NH29" i="15" s="1"/>
  <c r="NH30" i="15" s="1"/>
  <c r="NH31" i="15" s="1"/>
  <c r="NH32" i="15" s="1"/>
  <c r="NH34" i="15" s="1"/>
  <c r="NH35" i="15" s="1"/>
  <c r="MX8" i="15"/>
  <c r="MX9" i="15" s="1"/>
  <c r="MX10" i="15" s="1"/>
  <c r="MX11" i="15" s="1"/>
  <c r="MX12" i="15" s="1"/>
  <c r="MX13" i="15" s="1"/>
  <c r="MX14" i="15" s="1"/>
  <c r="MX15" i="15" s="1"/>
  <c r="MX16" i="15" s="1"/>
  <c r="MX17" i="15" s="1"/>
  <c r="MX18" i="15" s="1"/>
  <c r="MX19" i="15" s="1"/>
  <c r="MX20" i="15" s="1"/>
  <c r="MX21" i="15" s="1"/>
  <c r="MX22" i="15" s="1"/>
  <c r="MX23" i="15" s="1"/>
  <c r="MX24" i="15" s="1"/>
  <c r="MX25" i="15" s="1"/>
  <c r="MX26" i="15" s="1"/>
  <c r="MX27" i="15" s="1"/>
  <c r="MX28" i="15" s="1"/>
  <c r="MX29" i="15" s="1"/>
  <c r="MX30" i="15" s="1"/>
  <c r="MX31" i="15" s="1"/>
  <c r="MX32" i="15" s="1"/>
  <c r="MX34" i="15" s="1"/>
  <c r="MX35" i="15" s="1"/>
  <c r="KX8" i="15"/>
  <c r="KV8" i="15"/>
  <c r="KT8" i="15"/>
  <c r="KP8" i="15"/>
  <c r="KE8" i="15"/>
  <c r="KC8" i="15"/>
  <c r="KD8" i="15" s="1"/>
  <c r="KG8" i="15" s="1"/>
  <c r="LG9" i="15" s="1"/>
  <c r="LP9" i="15" s="1"/>
  <c r="JU8" i="15"/>
  <c r="MI8" i="15" s="1"/>
  <c r="IV8" i="15"/>
  <c r="MF8" i="15" s="1"/>
  <c r="ML8" i="15" s="1"/>
  <c r="ID8" i="15"/>
  <c r="IC8" i="15"/>
  <c r="JC8" i="15" s="1"/>
  <c r="JJ8" i="15" s="1"/>
  <c r="LN9" i="15" s="1"/>
  <c r="HR8" i="15"/>
  <c r="HN8" i="15"/>
  <c r="HE8" i="15"/>
  <c r="HA8" i="15"/>
  <c r="GR8" i="15"/>
  <c r="GN8" i="15"/>
  <c r="GE8" i="15"/>
  <c r="FM8" i="15"/>
  <c r="FG8" i="15"/>
  <c r="FG9" i="15" s="1"/>
  <c r="FG10" i="15" s="1"/>
  <c r="FG11" i="15" s="1"/>
  <c r="FG12" i="15" s="1"/>
  <c r="FG13" i="15" s="1"/>
  <c r="FG14" i="15" s="1"/>
  <c r="FG15" i="15" s="1"/>
  <c r="FG16" i="15" s="1"/>
  <c r="FG17" i="15" s="1"/>
  <c r="FG18" i="15" s="1"/>
  <c r="FG19" i="15" s="1"/>
  <c r="FG20" i="15" s="1"/>
  <c r="FG21" i="15" s="1"/>
  <c r="FG22" i="15" s="1"/>
  <c r="FG23" i="15" s="1"/>
  <c r="FG24" i="15" s="1"/>
  <c r="FG25" i="15" s="1"/>
  <c r="FG26" i="15" s="1"/>
  <c r="FG27" i="15" s="1"/>
  <c r="FG28" i="15" s="1"/>
  <c r="FG29" i="15" s="1"/>
  <c r="FG30" i="15" s="1"/>
  <c r="FG31" i="15" s="1"/>
  <c r="FG32" i="15" s="1"/>
  <c r="FG33" i="15" s="1"/>
  <c r="FG34" i="15" s="1"/>
  <c r="FG35" i="15" s="1"/>
  <c r="FG37" i="15" s="1"/>
  <c r="EZ8" i="15"/>
  <c r="EV8" i="15"/>
  <c r="EM8" i="15"/>
  <c r="EI8" i="15"/>
  <c r="CT8" i="15"/>
  <c r="CP8" i="15"/>
  <c r="CB8" i="15"/>
  <c r="BY8" i="15"/>
  <c r="BV8" i="15"/>
  <c r="BR8" i="15"/>
  <c r="BN8" i="15"/>
  <c r="BJ8" i="15"/>
  <c r="BF8" i="15"/>
  <c r="BB8" i="15"/>
  <c r="AX8" i="15"/>
  <c r="AF8" i="15"/>
  <c r="AF9" i="15" s="1"/>
  <c r="AF10" i="15" s="1"/>
  <c r="AF11" i="15" s="1"/>
  <c r="AF12" i="15" s="1"/>
  <c r="AF13" i="15" s="1"/>
  <c r="AF14" i="15" s="1"/>
  <c r="AF15" i="15" s="1"/>
  <c r="AF16" i="15" s="1"/>
  <c r="AF17" i="15" s="1"/>
  <c r="AF18" i="15" s="1"/>
  <c r="AF19" i="15" s="1"/>
  <c r="AF20" i="15" s="1"/>
  <c r="AF21" i="15" s="1"/>
  <c r="N8" i="15"/>
  <c r="H8" i="15"/>
  <c r="F8" i="15"/>
  <c r="NI7" i="15"/>
  <c r="MR7" i="15"/>
  <c r="MR8" i="15" s="1"/>
  <c r="MR9" i="15" s="1"/>
  <c r="MR10" i="15" s="1"/>
  <c r="MR11" i="15" s="1"/>
  <c r="MR12" i="15" s="1"/>
  <c r="MR13" i="15" s="1"/>
  <c r="LE7" i="15"/>
  <c r="LE8" i="15" s="1"/>
  <c r="LE9" i="15" s="1"/>
  <c r="LE10" i="15" s="1"/>
  <c r="LE11" i="15" s="1"/>
  <c r="LE12" i="15" s="1"/>
  <c r="LE13" i="15" s="1"/>
  <c r="LE14" i="15" s="1"/>
  <c r="LE15" i="15" s="1"/>
  <c r="LE16" i="15" s="1"/>
  <c r="LE17" i="15" s="1"/>
  <c r="LE18" i="15" s="1"/>
  <c r="LE19" i="15" s="1"/>
  <c r="LE20" i="15" s="1"/>
  <c r="LE21" i="15" s="1"/>
  <c r="LE22" i="15" s="1"/>
  <c r="LE23" i="15" s="1"/>
  <c r="LE24" i="15" s="1"/>
  <c r="LE25" i="15" s="1"/>
  <c r="LE26" i="15" s="1"/>
  <c r="LE27" i="15" s="1"/>
  <c r="LE28" i="15" s="1"/>
  <c r="KX7" i="15"/>
  <c r="KV7" i="15"/>
  <c r="KT7" i="15"/>
  <c r="KP7" i="15"/>
  <c r="KE7" i="15"/>
  <c r="KC7" i="15"/>
  <c r="KD7" i="15" s="1"/>
  <c r="KG7" i="15" s="1"/>
  <c r="LG8" i="15" s="1"/>
  <c r="LP8" i="15" s="1"/>
  <c r="JU7" i="15"/>
  <c r="MI7" i="15" s="1"/>
  <c r="IV7" i="15"/>
  <c r="MF7" i="15" s="1"/>
  <c r="ML7" i="15" s="1"/>
  <c r="ID7" i="15"/>
  <c r="IC7" i="15"/>
  <c r="JC7" i="15" s="1"/>
  <c r="JJ7" i="15" s="1"/>
  <c r="LN8" i="15" s="1"/>
  <c r="HR7" i="15"/>
  <c r="HN7" i="15"/>
  <c r="HA7" i="15"/>
  <c r="GR7" i="15"/>
  <c r="GN7" i="15"/>
  <c r="GE7" i="15"/>
  <c r="FM7" i="15"/>
  <c r="EZ7" i="15"/>
  <c r="EV7" i="15"/>
  <c r="EM7" i="15"/>
  <c r="EI7" i="15"/>
  <c r="CT7" i="15"/>
  <c r="CP7" i="15"/>
  <c r="CB7" i="15"/>
  <c r="BY7" i="15"/>
  <c r="BV7" i="15"/>
  <c r="BR7" i="15"/>
  <c r="BN7" i="15"/>
  <c r="BJ7" i="15"/>
  <c r="BF7" i="15"/>
  <c r="BB7" i="15"/>
  <c r="AX7" i="15"/>
  <c r="AJ7" i="15"/>
  <c r="AI7" i="15"/>
  <c r="AH7" i="15"/>
  <c r="AA7" i="15"/>
  <c r="V7" i="15"/>
  <c r="V8" i="15" s="1"/>
  <c r="V10" i="15" s="1"/>
  <c r="V11" i="15" s="1"/>
  <c r="V12" i="15" s="1"/>
  <c r="V14" i="15" s="1"/>
  <c r="V15" i="15" s="1"/>
  <c r="V16" i="15" s="1"/>
  <c r="V18" i="15" s="1"/>
  <c r="V19" i="15" s="1"/>
  <c r="V20" i="15" s="1"/>
  <c r="N7" i="15"/>
  <c r="B7" i="15"/>
  <c r="B8" i="15" s="1"/>
  <c r="B9" i="15" s="1"/>
  <c r="B10" i="15" s="1"/>
  <c r="B11" i="15" s="1"/>
  <c r="B12" i="15" s="1"/>
  <c r="B13" i="15" s="1"/>
  <c r="B14" i="15" s="1"/>
  <c r="B15" i="15" s="1"/>
  <c r="B16" i="15" s="1"/>
  <c r="B17" i="15" s="1"/>
  <c r="B18" i="15" s="1"/>
  <c r="B19" i="15" s="1"/>
  <c r="B20" i="15" s="1"/>
  <c r="B21" i="15" s="1"/>
  <c r="B22" i="15" s="1"/>
  <c r="B24" i="15" s="1"/>
  <c r="B25" i="15" s="1"/>
  <c r="KX6" i="15"/>
  <c r="KV6" i="15"/>
  <c r="KT6" i="15"/>
  <c r="KP6" i="15"/>
  <c r="KE6" i="15"/>
  <c r="KC6" i="15"/>
  <c r="KD6" i="15" s="1"/>
  <c r="JU6" i="15"/>
  <c r="MI6" i="15" s="1"/>
  <c r="MI26" i="15" s="1"/>
  <c r="IV6" i="15"/>
  <c r="MF6" i="15" s="1"/>
  <c r="ID6" i="15"/>
  <c r="IC6" i="15"/>
  <c r="JC6" i="15" s="1"/>
  <c r="JJ6" i="15" s="1"/>
  <c r="HR6" i="15"/>
  <c r="H24" i="15" s="1"/>
  <c r="HN6" i="15"/>
  <c r="F24" i="15" s="1"/>
  <c r="HE6" i="15"/>
  <c r="HA6" i="15"/>
  <c r="GR6" i="15"/>
  <c r="GR12" i="15" s="1"/>
  <c r="HE13" i="15" s="1"/>
  <c r="GN6" i="15"/>
  <c r="GN12" i="15" s="1"/>
  <c r="GE6" i="15"/>
  <c r="GE14" i="15" s="1"/>
  <c r="EZ6" i="15"/>
  <c r="EV6" i="15"/>
  <c r="EV9" i="15" s="1"/>
  <c r="F19" i="15" s="1"/>
  <c r="G19" i="15" s="1"/>
  <c r="EM6" i="15"/>
  <c r="EM9" i="15" s="1"/>
  <c r="H18" i="15" s="1"/>
  <c r="EI6" i="15"/>
  <c r="EI9" i="15" s="1"/>
  <c r="F18" i="15" s="1"/>
  <c r="DV6" i="15"/>
  <c r="CT6" i="15"/>
  <c r="CT9" i="15" s="1"/>
  <c r="H14" i="15" s="1"/>
  <c r="CP6" i="15"/>
  <c r="CP9" i="15" s="1"/>
  <c r="F14" i="15" s="1"/>
  <c r="KO5" i="15"/>
  <c r="LL4" i="15"/>
  <c r="LN4" i="15" s="1"/>
  <c r="KV4" i="15"/>
  <c r="KQ4" i="15"/>
  <c r="KP4" i="15"/>
  <c r="JE4" i="15"/>
  <c r="IM4" i="15"/>
  <c r="FP4" i="15"/>
  <c r="FN4" i="15"/>
  <c r="AJ4" i="15"/>
  <c r="AI4" i="15"/>
  <c r="AH4" i="15"/>
  <c r="CQ3" i="15"/>
  <c r="DB3" i="15" s="1"/>
  <c r="CM3" i="15"/>
  <c r="CZ3" i="15" s="1"/>
  <c r="GZ32" i="14"/>
  <c r="HA32" i="14" s="1"/>
  <c r="HB32" i="14" s="1"/>
  <c r="HC32" i="14" s="1"/>
  <c r="HD32" i="14" s="1"/>
  <c r="GK31" i="14"/>
  <c r="GL31" i="14" s="1"/>
  <c r="GM31" i="14" s="1"/>
  <c r="GN31" i="14" s="1"/>
  <c r="GO31" i="14" s="1"/>
  <c r="GP31" i="14" s="1"/>
  <c r="GQ31" i="14" s="1"/>
  <c r="GR31" i="14" s="1"/>
  <c r="GA31" i="14"/>
  <c r="GB31" i="14" s="1"/>
  <c r="GC31" i="14" s="1"/>
  <c r="FV31" i="14"/>
  <c r="FW31" i="14" s="1"/>
  <c r="FX31" i="14" s="1"/>
  <c r="FY31" i="14" s="1"/>
  <c r="AT31" i="14"/>
  <c r="AU31" i="14" s="1"/>
  <c r="AV31" i="14" s="1"/>
  <c r="AW31" i="14" s="1"/>
  <c r="AX31" i="14" s="1"/>
  <c r="AY31" i="14" s="1"/>
  <c r="BA31" i="14" s="1"/>
  <c r="HC30" i="14"/>
  <c r="Z30" i="14"/>
  <c r="FM31" i="14" s="1"/>
  <c r="FN31" i="14" s="1"/>
  <c r="HD28" i="14"/>
  <c r="FL28" i="14"/>
  <c r="AT28" i="14"/>
  <c r="M28" i="14"/>
  <c r="JV27" i="14"/>
  <c r="JJ27" i="14"/>
  <c r="IT27" i="14"/>
  <c r="IW27" i="14" s="1"/>
  <c r="HT27" i="14"/>
  <c r="HA27" i="14"/>
  <c r="HB27" i="14" s="1"/>
  <c r="GR27" i="14"/>
  <c r="GH27" i="14"/>
  <c r="FJ27" i="14"/>
  <c r="EO27" i="14"/>
  <c r="DX27" i="14"/>
  <c r="DI27" i="14"/>
  <c r="CJ27" i="14"/>
  <c r="BM27" i="14"/>
  <c r="AU27" i="14"/>
  <c r="AR27" i="14"/>
  <c r="AT27" i="14" s="1"/>
  <c r="W27" i="14"/>
  <c r="P27" i="14"/>
  <c r="N27" i="14"/>
  <c r="CL27" i="14" s="1"/>
  <c r="JW26" i="14"/>
  <c r="JJ26" i="14"/>
  <c r="IT26" i="14"/>
  <c r="HT26" i="14"/>
  <c r="HA26" i="14"/>
  <c r="GR26" i="14"/>
  <c r="GH26" i="14"/>
  <c r="FJ26" i="14"/>
  <c r="EO26" i="14"/>
  <c r="DX26" i="14"/>
  <c r="DI26" i="14"/>
  <c r="CJ26" i="14"/>
  <c r="BM26" i="14"/>
  <c r="AU26" i="14"/>
  <c r="AR26" i="14"/>
  <c r="AT26" i="14" s="1"/>
  <c r="W26" i="14"/>
  <c r="P26" i="14"/>
  <c r="N26" i="14"/>
  <c r="JW25" i="14"/>
  <c r="JJ25" i="14"/>
  <c r="IT25" i="14"/>
  <c r="HT25" i="14"/>
  <c r="HA25" i="14"/>
  <c r="GR25" i="14"/>
  <c r="GH25" i="14"/>
  <c r="FJ25" i="14"/>
  <c r="EO25" i="14"/>
  <c r="DX25" i="14"/>
  <c r="DI25" i="14"/>
  <c r="CJ25" i="14"/>
  <c r="BM25" i="14"/>
  <c r="AU25" i="14"/>
  <c r="AR25" i="14"/>
  <c r="AT25" i="14" s="1"/>
  <c r="W25" i="14"/>
  <c r="P25" i="14"/>
  <c r="N25" i="14"/>
  <c r="JW24" i="14"/>
  <c r="JJ24" i="14"/>
  <c r="IT24" i="14"/>
  <c r="IW24" i="14" s="1"/>
  <c r="HT24" i="14"/>
  <c r="HA24" i="14"/>
  <c r="HB24" i="14" s="1"/>
  <c r="GR24" i="14"/>
  <c r="GH24" i="14"/>
  <c r="FJ24" i="14"/>
  <c r="EO24" i="14"/>
  <c r="DX24" i="14"/>
  <c r="DI24" i="14"/>
  <c r="CJ24" i="14"/>
  <c r="BM24" i="14"/>
  <c r="BQ24" i="14" s="1"/>
  <c r="AU24" i="14"/>
  <c r="AR24" i="14"/>
  <c r="AT24" i="14" s="1"/>
  <c r="W24" i="14"/>
  <c r="P24" i="14"/>
  <c r="N24" i="14"/>
  <c r="JW23" i="14"/>
  <c r="JJ23" i="14"/>
  <c r="JW22" i="14" s="1"/>
  <c r="IW23" i="14"/>
  <c r="IT23" i="14"/>
  <c r="HT23" i="14"/>
  <c r="HA23" i="14"/>
  <c r="HB23" i="14" s="1"/>
  <c r="GR23" i="14"/>
  <c r="GH23" i="14"/>
  <c r="FJ23" i="14"/>
  <c r="EO23" i="14"/>
  <c r="DX23" i="14"/>
  <c r="DI23" i="14"/>
  <c r="CJ23" i="14"/>
  <c r="BM23" i="14"/>
  <c r="AU23" i="14"/>
  <c r="AR23" i="14"/>
  <c r="AT23" i="14" s="1"/>
  <c r="W23" i="14"/>
  <c r="P23" i="14"/>
  <c r="JJ22" i="14"/>
  <c r="IT22" i="14"/>
  <c r="HT22" i="14"/>
  <c r="HA22" i="14"/>
  <c r="GR22" i="14"/>
  <c r="GH22" i="14"/>
  <c r="FJ22" i="14"/>
  <c r="EO22" i="14"/>
  <c r="DX22" i="14"/>
  <c r="DI22" i="14"/>
  <c r="CJ22" i="14"/>
  <c r="BM22" i="14"/>
  <c r="AU22" i="14"/>
  <c r="AR22" i="14"/>
  <c r="AT22" i="14" s="1"/>
  <c r="W22" i="14"/>
  <c r="P22" i="14"/>
  <c r="N22" i="14"/>
  <c r="JW21" i="14"/>
  <c r="JJ21" i="14"/>
  <c r="IT21" i="14"/>
  <c r="HT21" i="14"/>
  <c r="HA21" i="14"/>
  <c r="GR21" i="14"/>
  <c r="GH21" i="14"/>
  <c r="FJ21" i="14"/>
  <c r="EO21" i="14"/>
  <c r="DX21" i="14"/>
  <c r="DI21" i="14"/>
  <c r="CJ21" i="14"/>
  <c r="BM21" i="14"/>
  <c r="AU21" i="14"/>
  <c r="AR21" i="14"/>
  <c r="AT21" i="14" s="1"/>
  <c r="W21" i="14"/>
  <c r="P21" i="14"/>
  <c r="N21" i="14"/>
  <c r="JW20" i="14"/>
  <c r="JJ20" i="14"/>
  <c r="IT20" i="14"/>
  <c r="HT20" i="14"/>
  <c r="HA20" i="14"/>
  <c r="GR20" i="14"/>
  <c r="GH20" i="14"/>
  <c r="FJ20" i="14"/>
  <c r="EO20" i="14"/>
  <c r="DX20" i="14"/>
  <c r="DI20" i="14"/>
  <c r="CJ20" i="14"/>
  <c r="BM20" i="14"/>
  <c r="AU20" i="14"/>
  <c r="AR20" i="14"/>
  <c r="AT20" i="14" s="1"/>
  <c r="W20" i="14"/>
  <c r="P20" i="14"/>
  <c r="N20" i="14"/>
  <c r="JW19" i="14"/>
  <c r="JJ19" i="14"/>
  <c r="IT19" i="14"/>
  <c r="HT19" i="14"/>
  <c r="HA19" i="14"/>
  <c r="GR19" i="14"/>
  <c r="GH19" i="14"/>
  <c r="FJ19" i="14"/>
  <c r="EO19" i="14"/>
  <c r="DX19" i="14"/>
  <c r="DI19" i="14"/>
  <c r="CJ19" i="14"/>
  <c r="BM19" i="14"/>
  <c r="AU19" i="14"/>
  <c r="AR19" i="14"/>
  <c r="AT19" i="14" s="1"/>
  <c r="W19" i="14"/>
  <c r="P19" i="14"/>
  <c r="N19" i="14"/>
  <c r="JW18" i="14"/>
  <c r="JJ18" i="14"/>
  <c r="JW17" i="14" s="1"/>
  <c r="IT18" i="14"/>
  <c r="HT18" i="14"/>
  <c r="HA18" i="14"/>
  <c r="GR18" i="14"/>
  <c r="GH18" i="14"/>
  <c r="FJ18" i="14"/>
  <c r="EO18" i="14"/>
  <c r="DI18" i="14"/>
  <c r="CJ18" i="14"/>
  <c r="BM18" i="14"/>
  <c r="AU18" i="14"/>
  <c r="AR18" i="14"/>
  <c r="AT18" i="14" s="1"/>
  <c r="W18" i="14"/>
  <c r="P18" i="14"/>
  <c r="JJ17" i="14"/>
  <c r="IT17" i="14"/>
  <c r="IW17" i="14" s="1"/>
  <c r="HT17" i="14"/>
  <c r="HA17" i="14"/>
  <c r="GR17" i="14"/>
  <c r="GH17" i="14"/>
  <c r="FJ17" i="14"/>
  <c r="EO17" i="14"/>
  <c r="DX17" i="14"/>
  <c r="DI17" i="14"/>
  <c r="CJ17" i="14"/>
  <c r="BM17" i="14"/>
  <c r="AU17" i="14"/>
  <c r="AR17" i="14"/>
  <c r="AT17" i="14" s="1"/>
  <c r="W17" i="14"/>
  <c r="P17" i="14"/>
  <c r="JW16" i="14"/>
  <c r="JJ16" i="14"/>
  <c r="IT16" i="14"/>
  <c r="HT16" i="14"/>
  <c r="HA16" i="14"/>
  <c r="GR16" i="14"/>
  <c r="GH16" i="14"/>
  <c r="FJ16" i="14"/>
  <c r="EO16" i="14"/>
  <c r="DX16" i="14"/>
  <c r="DI16" i="14"/>
  <c r="CJ16" i="14"/>
  <c r="BM16" i="14"/>
  <c r="AU16" i="14"/>
  <c r="AR16" i="14"/>
  <c r="AT16" i="14" s="1"/>
  <c r="W16" i="14"/>
  <c r="P16" i="14"/>
  <c r="N16" i="14"/>
  <c r="JW15" i="14"/>
  <c r="JJ15" i="14"/>
  <c r="IT15" i="14"/>
  <c r="IW15" i="14" s="1"/>
  <c r="HT15" i="14"/>
  <c r="HA15" i="14"/>
  <c r="GR15" i="14"/>
  <c r="GH15" i="14"/>
  <c r="FJ15" i="14"/>
  <c r="EO15" i="14"/>
  <c r="DX15" i="14"/>
  <c r="DI15" i="14"/>
  <c r="CJ15" i="14"/>
  <c r="BM15" i="14"/>
  <c r="AU15" i="14"/>
  <c r="AR15" i="14"/>
  <c r="AT15" i="14" s="1"/>
  <c r="W15" i="14"/>
  <c r="P15" i="14"/>
  <c r="N15" i="14"/>
  <c r="JW14" i="14"/>
  <c r="JJ14" i="14"/>
  <c r="IT14" i="14"/>
  <c r="HT14" i="14"/>
  <c r="HA14" i="14"/>
  <c r="GR14" i="14"/>
  <c r="GH14" i="14"/>
  <c r="FJ14" i="14"/>
  <c r="EO14" i="14"/>
  <c r="DX14" i="14"/>
  <c r="DI14" i="14"/>
  <c r="CJ14" i="14"/>
  <c r="BM14" i="14"/>
  <c r="AU14" i="14"/>
  <c r="AR14" i="14"/>
  <c r="AT14" i="14" s="1"/>
  <c r="W14" i="14"/>
  <c r="P14" i="14"/>
  <c r="N14" i="14"/>
  <c r="JW13" i="14"/>
  <c r="JJ13" i="14"/>
  <c r="JW12" i="14" s="1"/>
  <c r="JY3" i="14" s="1"/>
  <c r="IT13" i="14"/>
  <c r="HT13" i="14"/>
  <c r="HA13" i="14"/>
  <c r="GR13" i="14"/>
  <c r="GH13" i="14"/>
  <c r="FJ13" i="14"/>
  <c r="EO13" i="14"/>
  <c r="DX13" i="14"/>
  <c r="DI13" i="14"/>
  <c r="CJ13" i="14"/>
  <c r="BM13" i="14"/>
  <c r="AU13" i="14"/>
  <c r="AR13" i="14"/>
  <c r="AT13" i="14" s="1"/>
  <c r="W13" i="14"/>
  <c r="P13" i="14"/>
  <c r="JJ12" i="14"/>
  <c r="IT12" i="14"/>
  <c r="HT12" i="14"/>
  <c r="HA12" i="14"/>
  <c r="GR12" i="14"/>
  <c r="GH12" i="14"/>
  <c r="FJ12" i="14"/>
  <c r="EO12" i="14"/>
  <c r="DX12" i="14"/>
  <c r="DI12" i="14"/>
  <c r="CJ12" i="14"/>
  <c r="BM12" i="14"/>
  <c r="AU12" i="14"/>
  <c r="AR12" i="14"/>
  <c r="AT12" i="14" s="1"/>
  <c r="W12" i="14"/>
  <c r="P12" i="14"/>
  <c r="JW11" i="14"/>
  <c r="JJ11" i="14"/>
  <c r="IT11" i="14"/>
  <c r="HT11" i="14"/>
  <c r="HA11" i="14"/>
  <c r="GR11" i="14"/>
  <c r="GH11" i="14"/>
  <c r="FJ11" i="14"/>
  <c r="EO11" i="14"/>
  <c r="DX11" i="14"/>
  <c r="DI11" i="14"/>
  <c r="CJ11" i="14"/>
  <c r="BM11" i="14"/>
  <c r="AU11" i="14"/>
  <c r="AR11" i="14"/>
  <c r="AT11" i="14" s="1"/>
  <c r="W11" i="14"/>
  <c r="P11" i="14"/>
  <c r="N11" i="14"/>
  <c r="JW10" i="14"/>
  <c r="JJ10" i="14"/>
  <c r="IT10" i="14"/>
  <c r="HT10" i="14"/>
  <c r="HA10" i="14"/>
  <c r="GR10" i="14"/>
  <c r="GH10" i="14"/>
  <c r="FJ10" i="14"/>
  <c r="EO10" i="14"/>
  <c r="DX10" i="14"/>
  <c r="DI10" i="14"/>
  <c r="CJ10" i="14"/>
  <c r="BM10" i="14"/>
  <c r="AU10" i="14"/>
  <c r="AR10" i="14"/>
  <c r="AT10" i="14" s="1"/>
  <c r="W10" i="14"/>
  <c r="P10" i="14"/>
  <c r="N10" i="14"/>
  <c r="JW9" i="14"/>
  <c r="JJ9" i="14"/>
  <c r="IT9" i="14"/>
  <c r="HT9" i="14"/>
  <c r="HA9" i="14"/>
  <c r="GR9" i="14"/>
  <c r="GH9" i="14"/>
  <c r="FJ9" i="14"/>
  <c r="EO9" i="14"/>
  <c r="DX9" i="14"/>
  <c r="DI9" i="14"/>
  <c r="CJ9" i="14"/>
  <c r="BZ9" i="14"/>
  <c r="BM9" i="14"/>
  <c r="AU9" i="14"/>
  <c r="AR9" i="14"/>
  <c r="AT9" i="14" s="1"/>
  <c r="W9" i="14"/>
  <c r="P9" i="14"/>
  <c r="N9" i="14"/>
  <c r="JW8" i="14"/>
  <c r="JK8" i="14"/>
  <c r="JJ8" i="14"/>
  <c r="JA8" i="14"/>
  <c r="IU8" i="14"/>
  <c r="IT8" i="14"/>
  <c r="IW8" i="14" s="1"/>
  <c r="HU8" i="14"/>
  <c r="HT8" i="14"/>
  <c r="HA8" i="14"/>
  <c r="HC8" i="14" s="1"/>
  <c r="GR8" i="14"/>
  <c r="GH8" i="14"/>
  <c r="FJ8" i="14"/>
  <c r="EO8" i="14"/>
  <c r="DX8" i="14"/>
  <c r="DI8" i="14"/>
  <c r="CJ8" i="14"/>
  <c r="CA8" i="14"/>
  <c r="BM8" i="14"/>
  <c r="AU8" i="14"/>
  <c r="AR8" i="14"/>
  <c r="AT8" i="14" s="1"/>
  <c r="W8" i="14"/>
  <c r="P8" i="14"/>
  <c r="N8" i="14"/>
  <c r="JW7" i="14"/>
  <c r="JU7" i="14"/>
  <c r="JJ7" i="14"/>
  <c r="IT7" i="14"/>
  <c r="HT7" i="14"/>
  <c r="HA7" i="14"/>
  <c r="GR7" i="14"/>
  <c r="GH7" i="14"/>
  <c r="FJ7" i="14"/>
  <c r="EO7" i="14"/>
  <c r="EH7" i="14"/>
  <c r="EI7" i="14" s="1"/>
  <c r="DX7" i="14"/>
  <c r="DI7" i="14"/>
  <c r="CJ7" i="14"/>
  <c r="CA7" i="14"/>
  <c r="BM7" i="14"/>
  <c r="AU7" i="14"/>
  <c r="AR7" i="14"/>
  <c r="AT7" i="14" s="1"/>
  <c r="W7" i="14"/>
  <c r="P7" i="14"/>
  <c r="N7" i="14"/>
  <c r="JW6" i="14"/>
  <c r="JJ6" i="14"/>
  <c r="IT6" i="14"/>
  <c r="HT6" i="14"/>
  <c r="HA6" i="14"/>
  <c r="GR6" i="14"/>
  <c r="GH6" i="14"/>
  <c r="FJ6" i="14"/>
  <c r="EO6" i="14"/>
  <c r="EI6" i="14"/>
  <c r="DX6" i="14"/>
  <c r="DI6" i="14"/>
  <c r="DO6" i="14" s="1"/>
  <c r="CJ6" i="14"/>
  <c r="CA6" i="14"/>
  <c r="BM6" i="14"/>
  <c r="BG6" i="14"/>
  <c r="AU6" i="14"/>
  <c r="AR6" i="14"/>
  <c r="AT6" i="14" s="1"/>
  <c r="AV6" i="14" s="1"/>
  <c r="W6" i="14"/>
  <c r="P6" i="14"/>
  <c r="N6" i="14"/>
  <c r="CL6" i="14" s="1"/>
  <c r="JW5" i="14"/>
  <c r="JJ5" i="14"/>
  <c r="IT5" i="14"/>
  <c r="HT5" i="14"/>
  <c r="HK5" i="14"/>
  <c r="HA5" i="14"/>
  <c r="GV5" i="14"/>
  <c r="GV6" i="14" s="1"/>
  <c r="GV7" i="14" s="1"/>
  <c r="GV8" i="14" s="1"/>
  <c r="GV9" i="14" s="1"/>
  <c r="GV10" i="14" s="1"/>
  <c r="GV11" i="14" s="1"/>
  <c r="GV12" i="14" s="1"/>
  <c r="GV13" i="14" s="1"/>
  <c r="GV14" i="14" s="1"/>
  <c r="GV15" i="14" s="1"/>
  <c r="GV16" i="14" s="1"/>
  <c r="GV17" i="14" s="1"/>
  <c r="GV18" i="14" s="1"/>
  <c r="GV19" i="14" s="1"/>
  <c r="GV20" i="14" s="1"/>
  <c r="GV21" i="14" s="1"/>
  <c r="GV22" i="14" s="1"/>
  <c r="GV23" i="14" s="1"/>
  <c r="GV24" i="14" s="1"/>
  <c r="GV25" i="14" s="1"/>
  <c r="GV26" i="14" s="1"/>
  <c r="GV27" i="14" s="1"/>
  <c r="GR5" i="14"/>
  <c r="GH5" i="14"/>
  <c r="GG5" i="14"/>
  <c r="GG6" i="14" s="1"/>
  <c r="GG7" i="14" s="1"/>
  <c r="GG8" i="14" s="1"/>
  <c r="GG9" i="14" s="1"/>
  <c r="GG10" i="14" s="1"/>
  <c r="GG11" i="14" s="1"/>
  <c r="GG12" i="14" s="1"/>
  <c r="GG13" i="14" s="1"/>
  <c r="GG14" i="14" s="1"/>
  <c r="GG15" i="14" s="1"/>
  <c r="GG16" i="14" s="1"/>
  <c r="GG17" i="14" s="1"/>
  <c r="GG18" i="14" s="1"/>
  <c r="GG19" i="14" s="1"/>
  <c r="GG20" i="14" s="1"/>
  <c r="GG21" i="14" s="1"/>
  <c r="GG22" i="14" s="1"/>
  <c r="GG23" i="14" s="1"/>
  <c r="GG24" i="14" s="1"/>
  <c r="GG25" i="14" s="1"/>
  <c r="GG26" i="14" s="1"/>
  <c r="GG27" i="14" s="1"/>
  <c r="FR5" i="14"/>
  <c r="FR6" i="14" s="1"/>
  <c r="FR7" i="14" s="1"/>
  <c r="FR8" i="14" s="1"/>
  <c r="FR9" i="14" s="1"/>
  <c r="FR10" i="14" s="1"/>
  <c r="FR11" i="14" s="1"/>
  <c r="FR12" i="14" s="1"/>
  <c r="FR13" i="14" s="1"/>
  <c r="FR14" i="14" s="1"/>
  <c r="FR15" i="14" s="1"/>
  <c r="FR16" i="14" s="1"/>
  <c r="FR17" i="14" s="1"/>
  <c r="FR18" i="14" s="1"/>
  <c r="FR19" i="14" s="1"/>
  <c r="FR20" i="14" s="1"/>
  <c r="FR21" i="14" s="1"/>
  <c r="FR22" i="14" s="1"/>
  <c r="FR23" i="14" s="1"/>
  <c r="FR24" i="14" s="1"/>
  <c r="FR25" i="14" s="1"/>
  <c r="FR26" i="14" s="1"/>
  <c r="FR27" i="14" s="1"/>
  <c r="FR28" i="14" s="1"/>
  <c r="FJ5" i="14"/>
  <c r="FI5" i="14"/>
  <c r="FI6" i="14" s="1"/>
  <c r="FI7" i="14" s="1"/>
  <c r="FI8" i="14" s="1"/>
  <c r="FI9" i="14" s="1"/>
  <c r="FI10" i="14" s="1"/>
  <c r="FI11" i="14" s="1"/>
  <c r="FI12" i="14" s="1"/>
  <c r="FI13" i="14" s="1"/>
  <c r="FI14" i="14" s="1"/>
  <c r="FI15" i="14" s="1"/>
  <c r="FI16" i="14" s="1"/>
  <c r="FI17" i="14" s="1"/>
  <c r="FI18" i="14" s="1"/>
  <c r="FI19" i="14" s="1"/>
  <c r="FI20" i="14" s="1"/>
  <c r="FI21" i="14" s="1"/>
  <c r="FI22" i="14" s="1"/>
  <c r="FI23" i="14" s="1"/>
  <c r="FI24" i="14" s="1"/>
  <c r="FI25" i="14" s="1"/>
  <c r="FI26" i="14" s="1"/>
  <c r="FI27" i="14" s="1"/>
  <c r="FI28" i="14" s="1"/>
  <c r="FE5" i="14"/>
  <c r="EO5" i="14"/>
  <c r="EN5" i="14"/>
  <c r="EN6" i="14" s="1"/>
  <c r="EN7" i="14" s="1"/>
  <c r="EN8" i="14" s="1"/>
  <c r="EN9" i="14" s="1"/>
  <c r="EN10" i="14" s="1"/>
  <c r="EN11" i="14" s="1"/>
  <c r="EN12" i="14" s="1"/>
  <c r="EN13" i="14" s="1"/>
  <c r="EN14" i="14" s="1"/>
  <c r="EN15" i="14" s="1"/>
  <c r="EN16" i="14" s="1"/>
  <c r="EN17" i="14" s="1"/>
  <c r="EN18" i="14" s="1"/>
  <c r="EN19" i="14" s="1"/>
  <c r="EN20" i="14" s="1"/>
  <c r="EN21" i="14" s="1"/>
  <c r="EN22" i="14" s="1"/>
  <c r="EN23" i="14" s="1"/>
  <c r="EN24" i="14" s="1"/>
  <c r="EN25" i="14" s="1"/>
  <c r="EN26" i="14" s="1"/>
  <c r="EN27" i="14" s="1"/>
  <c r="EN28" i="14" s="1"/>
  <c r="EI5" i="14"/>
  <c r="DX5" i="14"/>
  <c r="DW5" i="14"/>
  <c r="DW6" i="14" s="1"/>
  <c r="DW7" i="14" s="1"/>
  <c r="DW8" i="14" s="1"/>
  <c r="DW9" i="14" s="1"/>
  <c r="DW10" i="14" s="1"/>
  <c r="DW11" i="14" s="1"/>
  <c r="DW12" i="14" s="1"/>
  <c r="DW13" i="14" s="1"/>
  <c r="DW14" i="14" s="1"/>
  <c r="DW15" i="14" s="1"/>
  <c r="DW16" i="14" s="1"/>
  <c r="DW17" i="14" s="1"/>
  <c r="DW18" i="14" s="1"/>
  <c r="DW19" i="14" s="1"/>
  <c r="DW20" i="14" s="1"/>
  <c r="DW21" i="14" s="1"/>
  <c r="DW22" i="14" s="1"/>
  <c r="DW23" i="14" s="1"/>
  <c r="DW24" i="14" s="1"/>
  <c r="DW25" i="14" s="1"/>
  <c r="DW26" i="14" s="1"/>
  <c r="DW27" i="14" s="1"/>
  <c r="DW28" i="14" s="1"/>
  <c r="DI5" i="14"/>
  <c r="CJ5" i="14"/>
  <c r="CI5" i="14"/>
  <c r="CI6" i="14" s="1"/>
  <c r="CI7" i="14" s="1"/>
  <c r="CI8" i="14" s="1"/>
  <c r="CI9" i="14" s="1"/>
  <c r="CI10" i="14" s="1"/>
  <c r="CI11" i="14" s="1"/>
  <c r="CI12" i="14" s="1"/>
  <c r="CI13" i="14" s="1"/>
  <c r="CI14" i="14" s="1"/>
  <c r="CI15" i="14" s="1"/>
  <c r="CI16" i="14" s="1"/>
  <c r="CI17" i="14" s="1"/>
  <c r="CI18" i="14" s="1"/>
  <c r="CI19" i="14" s="1"/>
  <c r="CI20" i="14" s="1"/>
  <c r="CI21" i="14" s="1"/>
  <c r="CI22" i="14" s="1"/>
  <c r="CI23" i="14" s="1"/>
  <c r="CI24" i="14" s="1"/>
  <c r="CI25" i="14" s="1"/>
  <c r="CI26" i="14" s="1"/>
  <c r="CI27" i="14" s="1"/>
  <c r="CI28" i="14" s="1"/>
  <c r="CA5" i="14"/>
  <c r="BX5" i="14"/>
  <c r="BX6" i="14" s="1"/>
  <c r="BX7" i="14" s="1"/>
  <c r="BX8" i="14" s="1"/>
  <c r="BM5" i="14"/>
  <c r="BL5" i="14"/>
  <c r="BL6" i="14" s="1"/>
  <c r="BL7" i="14" s="1"/>
  <c r="BL8" i="14" s="1"/>
  <c r="BL9" i="14" s="1"/>
  <c r="BL10" i="14" s="1"/>
  <c r="BL11" i="14" s="1"/>
  <c r="BL12" i="14" s="1"/>
  <c r="BL13" i="14" s="1"/>
  <c r="BL14" i="14" s="1"/>
  <c r="BL15" i="14" s="1"/>
  <c r="BL16" i="14" s="1"/>
  <c r="BL17" i="14" s="1"/>
  <c r="BL18" i="14" s="1"/>
  <c r="BL19" i="14" s="1"/>
  <c r="BL20" i="14" s="1"/>
  <c r="BL21" i="14" s="1"/>
  <c r="BL22" i="14" s="1"/>
  <c r="BL23" i="14" s="1"/>
  <c r="BL24" i="14" s="1"/>
  <c r="BL25" i="14" s="1"/>
  <c r="BL26" i="14" s="1"/>
  <c r="BL27" i="14" s="1"/>
  <c r="BL28" i="14" s="1"/>
  <c r="AU5" i="14"/>
  <c r="AR5" i="14"/>
  <c r="AT5" i="14" s="1"/>
  <c r="AV5" i="14" s="1"/>
  <c r="AQ5" i="14"/>
  <c r="AQ6" i="14" s="1"/>
  <c r="AQ7" i="14" s="1"/>
  <c r="AQ8" i="14" s="1"/>
  <c r="AQ9" i="14" s="1"/>
  <c r="AQ10" i="14" s="1"/>
  <c r="AQ11" i="14" s="1"/>
  <c r="AQ12" i="14" s="1"/>
  <c r="AQ13" i="14" s="1"/>
  <c r="AQ14" i="14" s="1"/>
  <c r="AQ15" i="14" s="1"/>
  <c r="AQ16" i="14" s="1"/>
  <c r="AQ17" i="14" s="1"/>
  <c r="AQ18" i="14" s="1"/>
  <c r="AQ19" i="14" s="1"/>
  <c r="AQ20" i="14" s="1"/>
  <c r="AQ21" i="14" s="1"/>
  <c r="AQ22" i="14" s="1"/>
  <c r="AQ23" i="14" s="1"/>
  <c r="AQ24" i="14" s="1"/>
  <c r="AQ25" i="14" s="1"/>
  <c r="AQ26" i="14" s="1"/>
  <c r="AQ27" i="14" s="1"/>
  <c r="AQ28" i="14" s="1"/>
  <c r="W5" i="14"/>
  <c r="V5" i="14"/>
  <c r="V6" i="14" s="1"/>
  <c r="V7" i="14" s="1"/>
  <c r="V8" i="14" s="1"/>
  <c r="V9" i="14" s="1"/>
  <c r="V10" i="14" s="1"/>
  <c r="V11" i="14" s="1"/>
  <c r="V12" i="14" s="1"/>
  <c r="V13" i="14" s="1"/>
  <c r="V14" i="14" s="1"/>
  <c r="V15" i="14" s="1"/>
  <c r="V16" i="14" s="1"/>
  <c r="V17" i="14" s="1"/>
  <c r="V18" i="14" s="1"/>
  <c r="V19" i="14" s="1"/>
  <c r="V20" i="14" s="1"/>
  <c r="V21" i="14" s="1"/>
  <c r="V22" i="14" s="1"/>
  <c r="V23" i="14" s="1"/>
  <c r="V24" i="14" s="1"/>
  <c r="V25" i="14" s="1"/>
  <c r="V26" i="14" s="1"/>
  <c r="V27" i="14" s="1"/>
  <c r="V28" i="14" s="1"/>
  <c r="P5" i="14"/>
  <c r="N5" i="14"/>
  <c r="JW4" i="14"/>
  <c r="JJ4" i="14"/>
  <c r="IT4" i="14"/>
  <c r="IL4" i="14"/>
  <c r="ID4" i="14"/>
  <c r="HT4" i="14"/>
  <c r="HK4" i="14"/>
  <c r="HA4" i="14"/>
  <c r="GR4" i="14"/>
  <c r="GR28" i="14" s="1"/>
  <c r="GH4" i="14"/>
  <c r="FJ4" i="14"/>
  <c r="EO4" i="14"/>
  <c r="EI4" i="14"/>
  <c r="DX4" i="14"/>
  <c r="DI4" i="14"/>
  <c r="CJ4" i="14"/>
  <c r="CA4" i="14"/>
  <c r="BM4" i="14"/>
  <c r="BF4" i="14"/>
  <c r="AU4" i="14"/>
  <c r="AT4" i="14"/>
  <c r="AR4" i="14"/>
  <c r="W4" i="14"/>
  <c r="P4" i="14"/>
  <c r="N4" i="14"/>
  <c r="JW3" i="14"/>
  <c r="JI2" i="14"/>
  <c r="HS2" i="14"/>
  <c r="FL2" i="14"/>
  <c r="DC2" i="14"/>
  <c r="DB2" i="14"/>
  <c r="DA2" i="14"/>
  <c r="BQ2" i="14"/>
  <c r="BO2" i="14"/>
  <c r="NI35" i="13"/>
  <c r="FL35" i="13"/>
  <c r="FK35" i="13"/>
  <c r="FJ35" i="13"/>
  <c r="FM35" i="13" s="1"/>
  <c r="NI34" i="13"/>
  <c r="FM34" i="13"/>
  <c r="FM33" i="13"/>
  <c r="NI32" i="13"/>
  <c r="NK31" i="13"/>
  <c r="NL31" i="13" s="1"/>
  <c r="NM31" i="13" s="1"/>
  <c r="NI31" i="13"/>
  <c r="FL31" i="13"/>
  <c r="FL36" i="13" s="1"/>
  <c r="FK31" i="13"/>
  <c r="FK36" i="13" s="1"/>
  <c r="FJ31" i="13"/>
  <c r="FM30" i="13"/>
  <c r="NB29" i="13"/>
  <c r="MZ29" i="13"/>
  <c r="FM29" i="13"/>
  <c r="FM28" i="13"/>
  <c r="NL27" i="13"/>
  <c r="NM27" i="13" s="1"/>
  <c r="NC27" i="13"/>
  <c r="FM27" i="13"/>
  <c r="NK26" i="13"/>
  <c r="NL26" i="13" s="1"/>
  <c r="NM26" i="13" s="1"/>
  <c r="NC26" i="13"/>
  <c r="KP26" i="13"/>
  <c r="JS26" i="13"/>
  <c r="JQ26" i="13"/>
  <c r="JO26" i="13"/>
  <c r="JM26" i="13"/>
  <c r="JL26" i="13"/>
  <c r="JL27" i="13" s="1"/>
  <c r="JK26" i="13"/>
  <c r="JI26" i="13"/>
  <c r="JG26" i="13"/>
  <c r="JE26" i="13"/>
  <c r="JU26" i="13" s="1"/>
  <c r="IU26" i="13"/>
  <c r="IU27" i="13" s="1"/>
  <c r="IT26" i="13"/>
  <c r="IS26" i="13"/>
  <c r="IS27" i="13" s="1"/>
  <c r="IR26" i="13"/>
  <c r="IQ26" i="13"/>
  <c r="IP26" i="13"/>
  <c r="IN26" i="13"/>
  <c r="IV26" i="13" s="1"/>
  <c r="IB26" i="13"/>
  <c r="IA26" i="13"/>
  <c r="HZ26" i="13"/>
  <c r="IC26" i="13" s="1"/>
  <c r="JC26" i="13" s="1"/>
  <c r="HY26" i="13"/>
  <c r="FM26" i="13"/>
  <c r="NI25" i="13"/>
  <c r="KY25" i="13"/>
  <c r="KX25" i="13"/>
  <c r="KW25" i="13"/>
  <c r="KV25" i="13"/>
  <c r="KU25" i="13"/>
  <c r="KT25" i="13"/>
  <c r="KP25" i="13"/>
  <c r="KE25" i="13"/>
  <c r="KC25" i="13"/>
  <c r="KD25" i="13" s="1"/>
  <c r="KG25" i="13" s="1"/>
  <c r="LG26" i="13" s="1"/>
  <c r="LP26" i="13" s="1"/>
  <c r="JU25" i="13"/>
  <c r="MI25" i="13" s="1"/>
  <c r="IV25" i="13"/>
  <c r="MF25" i="13" s="1"/>
  <c r="ML25" i="13" s="1"/>
  <c r="ID25" i="13"/>
  <c r="IC25" i="13"/>
  <c r="JC25" i="13" s="1"/>
  <c r="JJ25" i="13" s="1"/>
  <c r="LN26" i="13" s="1"/>
  <c r="H25" i="13"/>
  <c r="F25" i="13"/>
  <c r="NI24" i="13"/>
  <c r="KY24" i="13"/>
  <c r="KX24" i="13"/>
  <c r="KW24" i="13"/>
  <c r="KV24" i="13"/>
  <c r="KU24" i="13"/>
  <c r="KT24" i="13"/>
  <c r="KP24" i="13"/>
  <c r="KE24" i="13"/>
  <c r="KC24" i="13"/>
  <c r="KD24" i="13" s="1"/>
  <c r="KG24" i="13" s="1"/>
  <c r="LG25" i="13" s="1"/>
  <c r="LP25" i="13" s="1"/>
  <c r="JU24" i="13"/>
  <c r="MI24" i="13" s="1"/>
  <c r="IV24" i="13"/>
  <c r="MF24" i="13" s="1"/>
  <c r="ID24" i="13"/>
  <c r="IC24" i="13"/>
  <c r="JC24" i="13" s="1"/>
  <c r="JJ24" i="13" s="1"/>
  <c r="LN25" i="13" s="1"/>
  <c r="FL24" i="13"/>
  <c r="FK24" i="13"/>
  <c r="FJ24" i="13"/>
  <c r="FM24" i="13" s="1"/>
  <c r="K24" i="13"/>
  <c r="NK23" i="13"/>
  <c r="NL23" i="13" s="1"/>
  <c r="NM23" i="13" s="1"/>
  <c r="NI23" i="13"/>
  <c r="KY23" i="13"/>
  <c r="KX23" i="13"/>
  <c r="KW23" i="13"/>
  <c r="KV23" i="13"/>
  <c r="KU23" i="13"/>
  <c r="KT23" i="13"/>
  <c r="KP23" i="13"/>
  <c r="KE23" i="13"/>
  <c r="KC23" i="13"/>
  <c r="KD23" i="13" s="1"/>
  <c r="KG23" i="13" s="1"/>
  <c r="LG24" i="13" s="1"/>
  <c r="LP24" i="13" s="1"/>
  <c r="JU23" i="13"/>
  <c r="MI23" i="13" s="1"/>
  <c r="IV23" i="13"/>
  <c r="MF23" i="13" s="1"/>
  <c r="ML23" i="13" s="1"/>
  <c r="ID23" i="13"/>
  <c r="IC23" i="13"/>
  <c r="JC23" i="13" s="1"/>
  <c r="JJ23" i="13" s="1"/>
  <c r="LN24" i="13" s="1"/>
  <c r="FM23" i="13"/>
  <c r="CC23" i="13"/>
  <c r="CF23" i="13" s="1"/>
  <c r="CG23" i="13" s="1"/>
  <c r="KY22" i="13"/>
  <c r="KX22" i="13"/>
  <c r="KW22" i="13"/>
  <c r="KV22" i="13"/>
  <c r="KU22" i="13"/>
  <c r="KT22" i="13"/>
  <c r="KP22" i="13"/>
  <c r="KE22" i="13"/>
  <c r="KC22" i="13"/>
  <c r="KD22" i="13" s="1"/>
  <c r="KG22" i="13" s="1"/>
  <c r="LG23" i="13" s="1"/>
  <c r="LP23" i="13" s="1"/>
  <c r="JU22" i="13"/>
  <c r="MI22" i="13" s="1"/>
  <c r="IV22" i="13"/>
  <c r="MF22" i="13" s="1"/>
  <c r="ML22" i="13" s="1"/>
  <c r="ID22" i="13"/>
  <c r="IC22" i="13"/>
  <c r="JC22" i="13" s="1"/>
  <c r="JJ22" i="13" s="1"/>
  <c r="LN23" i="13" s="1"/>
  <c r="FM22" i="13"/>
  <c r="NI21" i="13"/>
  <c r="KY21" i="13"/>
  <c r="KX21" i="13"/>
  <c r="KW21" i="13"/>
  <c r="KV21" i="13"/>
  <c r="KU21" i="13"/>
  <c r="KT21" i="13"/>
  <c r="KP21" i="13"/>
  <c r="KE21" i="13"/>
  <c r="KC21" i="13"/>
  <c r="KD21" i="13" s="1"/>
  <c r="KG21" i="13" s="1"/>
  <c r="LG22" i="13" s="1"/>
  <c r="LP22" i="13" s="1"/>
  <c r="JU21" i="13"/>
  <c r="MI21" i="13" s="1"/>
  <c r="IV21" i="13"/>
  <c r="MF21" i="13" s="1"/>
  <c r="ML21" i="13" s="1"/>
  <c r="ID21" i="13"/>
  <c r="IC21" i="13"/>
  <c r="JC21" i="13" s="1"/>
  <c r="JJ21" i="13" s="1"/>
  <c r="LN22" i="13" s="1"/>
  <c r="NI20" i="13"/>
  <c r="KX20" i="13"/>
  <c r="KV20" i="13"/>
  <c r="KT20" i="13"/>
  <c r="KP20" i="13"/>
  <c r="KE20" i="13"/>
  <c r="KC20" i="13"/>
  <c r="KD20" i="13" s="1"/>
  <c r="KG20" i="13" s="1"/>
  <c r="LG21" i="13" s="1"/>
  <c r="LP21" i="13" s="1"/>
  <c r="JU20" i="13"/>
  <c r="MI20" i="13" s="1"/>
  <c r="IV20" i="13"/>
  <c r="MF20" i="13" s="1"/>
  <c r="ML20" i="13" s="1"/>
  <c r="ID20" i="13"/>
  <c r="IC20" i="13"/>
  <c r="JC20" i="13" s="1"/>
  <c r="JJ20" i="13" s="1"/>
  <c r="LN21" i="13" s="1"/>
  <c r="FL20" i="13"/>
  <c r="FK20" i="13"/>
  <c r="FJ20" i="13"/>
  <c r="FM20" i="13" s="1"/>
  <c r="CB20" i="13"/>
  <c r="BY20" i="13"/>
  <c r="BV20" i="13"/>
  <c r="BR20" i="13"/>
  <c r="BN20" i="13"/>
  <c r="BJ20" i="13"/>
  <c r="BF20" i="13"/>
  <c r="BB20" i="13"/>
  <c r="AX20" i="13"/>
  <c r="H20" i="13"/>
  <c r="NI19" i="13"/>
  <c r="KY19" i="13"/>
  <c r="KX19" i="13"/>
  <c r="KW19" i="13"/>
  <c r="KV19" i="13"/>
  <c r="KU19" i="13"/>
  <c r="KT19" i="13"/>
  <c r="KP19" i="13"/>
  <c r="KE19" i="13"/>
  <c r="KC19" i="13"/>
  <c r="KD19" i="13" s="1"/>
  <c r="KG19" i="13" s="1"/>
  <c r="LG20" i="13" s="1"/>
  <c r="LP20" i="13" s="1"/>
  <c r="JU19" i="13"/>
  <c r="MI19" i="13" s="1"/>
  <c r="IV19" i="13"/>
  <c r="MF19" i="13" s="1"/>
  <c r="ML19" i="13" s="1"/>
  <c r="ID19" i="13"/>
  <c r="IC19" i="13"/>
  <c r="JC19" i="13" s="1"/>
  <c r="JJ19" i="13" s="1"/>
  <c r="LN20" i="13" s="1"/>
  <c r="FM19" i="13"/>
  <c r="CB19" i="13"/>
  <c r="BY19" i="13"/>
  <c r="BV19" i="13"/>
  <c r="BR19" i="13"/>
  <c r="BN19" i="13"/>
  <c r="BJ19" i="13"/>
  <c r="BF19" i="13"/>
  <c r="BB19" i="13"/>
  <c r="AX19" i="13"/>
  <c r="NI18" i="13"/>
  <c r="KY18" i="13"/>
  <c r="KX18" i="13"/>
  <c r="KW18" i="13"/>
  <c r="KV18" i="13"/>
  <c r="KU18" i="13"/>
  <c r="KT18" i="13"/>
  <c r="KP18" i="13"/>
  <c r="KE18" i="13"/>
  <c r="KC18" i="13"/>
  <c r="KD18" i="13" s="1"/>
  <c r="KG18" i="13" s="1"/>
  <c r="LG19" i="13" s="1"/>
  <c r="LP19" i="13" s="1"/>
  <c r="JU18" i="13"/>
  <c r="MI18" i="13" s="1"/>
  <c r="IV18" i="13"/>
  <c r="MF18" i="13" s="1"/>
  <c r="ML18" i="13" s="1"/>
  <c r="ID18" i="13"/>
  <c r="IC18" i="13"/>
  <c r="JC18" i="13" s="1"/>
  <c r="JJ18" i="13" s="1"/>
  <c r="LN19" i="13" s="1"/>
  <c r="FM18" i="13"/>
  <c r="CB18" i="13"/>
  <c r="BY18" i="13"/>
  <c r="BV18" i="13"/>
  <c r="BR18" i="13"/>
  <c r="BN18" i="13"/>
  <c r="BJ18" i="13"/>
  <c r="BF18" i="13"/>
  <c r="BB18" i="13"/>
  <c r="AX18" i="13"/>
  <c r="NI17" i="13"/>
  <c r="KY17" i="13"/>
  <c r="KX17" i="13"/>
  <c r="KW17" i="13"/>
  <c r="KV17" i="13"/>
  <c r="KU17" i="13"/>
  <c r="KT17" i="13"/>
  <c r="KP17" i="13"/>
  <c r="KE17" i="13"/>
  <c r="KC17" i="13"/>
  <c r="KD17" i="13" s="1"/>
  <c r="KG17" i="13" s="1"/>
  <c r="LG18" i="13" s="1"/>
  <c r="LP18" i="13" s="1"/>
  <c r="JU17" i="13"/>
  <c r="MI17" i="13" s="1"/>
  <c r="IV17" i="13"/>
  <c r="MF17" i="13" s="1"/>
  <c r="ML17" i="13" s="1"/>
  <c r="ID17" i="13"/>
  <c r="IC17" i="13"/>
  <c r="JC17" i="13" s="1"/>
  <c r="JJ17" i="13" s="1"/>
  <c r="LN18" i="13" s="1"/>
  <c r="FM17" i="13"/>
  <c r="CB17" i="13"/>
  <c r="BY17" i="13"/>
  <c r="BV17" i="13"/>
  <c r="BR17" i="13"/>
  <c r="BN17" i="13"/>
  <c r="BJ17" i="13"/>
  <c r="BF17" i="13"/>
  <c r="BB17" i="13"/>
  <c r="AX17" i="13"/>
  <c r="K17" i="13"/>
  <c r="NI16" i="13"/>
  <c r="KY16" i="13"/>
  <c r="KX16" i="13"/>
  <c r="KW16" i="13"/>
  <c r="KV16" i="13"/>
  <c r="KU16" i="13"/>
  <c r="KT16" i="13"/>
  <c r="KP16" i="13"/>
  <c r="KE16" i="13"/>
  <c r="KC16" i="13"/>
  <c r="KD16" i="13" s="1"/>
  <c r="KG16" i="13" s="1"/>
  <c r="LG17" i="13" s="1"/>
  <c r="LP17" i="13" s="1"/>
  <c r="JU16" i="13"/>
  <c r="MI16" i="13" s="1"/>
  <c r="IV16" i="13"/>
  <c r="MF16" i="13" s="1"/>
  <c r="ML16" i="13" s="1"/>
  <c r="ID16" i="13"/>
  <c r="IC16" i="13"/>
  <c r="JC16" i="13" s="1"/>
  <c r="JJ16" i="13" s="1"/>
  <c r="LN17" i="13" s="1"/>
  <c r="FM16" i="13"/>
  <c r="CB16" i="13"/>
  <c r="BY16" i="13"/>
  <c r="BV16" i="13"/>
  <c r="BR16" i="13"/>
  <c r="BN16" i="13"/>
  <c r="BJ16" i="13"/>
  <c r="BF16" i="13"/>
  <c r="BB16" i="13"/>
  <c r="AX16" i="13"/>
  <c r="AN16" i="13"/>
  <c r="AN17" i="13" s="1"/>
  <c r="AN18" i="13" s="1"/>
  <c r="AN19" i="13" s="1"/>
  <c r="AN20" i="13" s="1"/>
  <c r="NI15" i="13"/>
  <c r="KY15" i="13"/>
  <c r="KX15" i="13"/>
  <c r="KW15" i="13"/>
  <c r="KV15" i="13"/>
  <c r="KU15" i="13"/>
  <c r="KT15" i="13"/>
  <c r="KP15" i="13"/>
  <c r="KE15" i="13"/>
  <c r="KC15" i="13"/>
  <c r="KD15" i="13" s="1"/>
  <c r="KG15" i="13" s="1"/>
  <c r="LG16" i="13" s="1"/>
  <c r="LP16" i="13" s="1"/>
  <c r="JU15" i="13"/>
  <c r="MI15" i="13" s="1"/>
  <c r="IV15" i="13"/>
  <c r="MF15" i="13" s="1"/>
  <c r="ML15" i="13" s="1"/>
  <c r="ID15" i="13"/>
  <c r="IC15" i="13"/>
  <c r="JC15" i="13" s="1"/>
  <c r="JJ15" i="13" s="1"/>
  <c r="LN16" i="13" s="1"/>
  <c r="FM15" i="13"/>
  <c r="CB15" i="13"/>
  <c r="BY15" i="13"/>
  <c r="BV15" i="13"/>
  <c r="BR15" i="13"/>
  <c r="BN15" i="13"/>
  <c r="BJ15" i="13"/>
  <c r="BF15" i="13"/>
  <c r="BB15" i="13"/>
  <c r="AX15" i="13"/>
  <c r="NI14" i="13"/>
  <c r="KY14" i="13"/>
  <c r="KX14" i="13"/>
  <c r="KW14" i="13"/>
  <c r="KV14" i="13"/>
  <c r="KU14" i="13"/>
  <c r="KT14" i="13"/>
  <c r="KP14" i="13"/>
  <c r="KE14" i="13"/>
  <c r="KC14" i="13"/>
  <c r="KD14" i="13" s="1"/>
  <c r="KG14" i="13" s="1"/>
  <c r="LG15" i="13" s="1"/>
  <c r="LP15" i="13" s="1"/>
  <c r="JU14" i="13"/>
  <c r="MI14" i="13" s="1"/>
  <c r="IV14" i="13"/>
  <c r="MF14" i="13" s="1"/>
  <c r="ML14" i="13" s="1"/>
  <c r="ID14" i="13"/>
  <c r="IC14" i="13"/>
  <c r="JC14" i="13" s="1"/>
  <c r="JJ14" i="13" s="1"/>
  <c r="LN15" i="13" s="1"/>
  <c r="GD14" i="13"/>
  <c r="GC14" i="13"/>
  <c r="GB14" i="13"/>
  <c r="GA14" i="13"/>
  <c r="FZ14" i="13"/>
  <c r="FY14" i="13"/>
  <c r="FX14" i="13"/>
  <c r="FM14" i="13"/>
  <c r="CB14" i="13"/>
  <c r="BY14" i="13"/>
  <c r="BV14" i="13"/>
  <c r="BR14" i="13"/>
  <c r="BN14" i="13"/>
  <c r="BJ14" i="13"/>
  <c r="BF14" i="13"/>
  <c r="BB14" i="13"/>
  <c r="AX14" i="13"/>
  <c r="NI13" i="13"/>
  <c r="KY13" i="13"/>
  <c r="KX13" i="13"/>
  <c r="KW13" i="13"/>
  <c r="KV13" i="13"/>
  <c r="KU13" i="13"/>
  <c r="KT13" i="13"/>
  <c r="KP13" i="13"/>
  <c r="KE13" i="13"/>
  <c r="KC13" i="13"/>
  <c r="KD13" i="13" s="1"/>
  <c r="KG13" i="13" s="1"/>
  <c r="LG14" i="13" s="1"/>
  <c r="LP14" i="13" s="1"/>
  <c r="JU13" i="13"/>
  <c r="MI13" i="13" s="1"/>
  <c r="IV13" i="13"/>
  <c r="MF13" i="13" s="1"/>
  <c r="ML13" i="13" s="1"/>
  <c r="ID13" i="13"/>
  <c r="IC13" i="13"/>
  <c r="JC13" i="13" s="1"/>
  <c r="JJ13" i="13" s="1"/>
  <c r="LN14" i="13" s="1"/>
  <c r="GE13" i="13"/>
  <c r="FM13" i="13"/>
  <c r="CB13" i="13"/>
  <c r="BY13" i="13"/>
  <c r="BV13" i="13"/>
  <c r="BR13" i="13"/>
  <c r="BN13" i="13"/>
  <c r="BJ13" i="13"/>
  <c r="BF13" i="13"/>
  <c r="BB13" i="13"/>
  <c r="AX13" i="13"/>
  <c r="NI12" i="13"/>
  <c r="MT12" i="13"/>
  <c r="MT13" i="13" s="1"/>
  <c r="D11" i="14" s="1"/>
  <c r="FE4" i="14" s="1"/>
  <c r="FE6" i="14" s="1"/>
  <c r="FM28" i="14" s="1"/>
  <c r="FN28" i="14" s="1"/>
  <c r="KY12" i="13"/>
  <c r="KX12" i="13"/>
  <c r="KW12" i="13"/>
  <c r="KV12" i="13"/>
  <c r="KU12" i="13"/>
  <c r="KT12" i="13"/>
  <c r="KP12" i="13"/>
  <c r="KE12" i="13"/>
  <c r="KC12" i="13"/>
  <c r="KD12" i="13" s="1"/>
  <c r="KG12" i="13" s="1"/>
  <c r="LG13" i="13" s="1"/>
  <c r="LP13" i="13" s="1"/>
  <c r="JU12" i="13"/>
  <c r="MI12" i="13" s="1"/>
  <c r="IV12" i="13"/>
  <c r="MF12" i="13" s="1"/>
  <c r="ML12" i="13" s="1"/>
  <c r="ID12" i="13"/>
  <c r="IC12" i="13"/>
  <c r="JC12" i="13" s="1"/>
  <c r="JJ12" i="13" s="1"/>
  <c r="LN13" i="13" s="1"/>
  <c r="HD12" i="13"/>
  <c r="HC12" i="13"/>
  <c r="HB12" i="13"/>
  <c r="GZ12" i="13"/>
  <c r="GY12" i="13"/>
  <c r="GX12" i="13"/>
  <c r="GQ12" i="13"/>
  <c r="HD13" i="13" s="1"/>
  <c r="GP12" i="13"/>
  <c r="HC13" i="13" s="1"/>
  <c r="GO12" i="13"/>
  <c r="HB13" i="13" s="1"/>
  <c r="GM12" i="13"/>
  <c r="GZ13" i="13" s="1"/>
  <c r="GL12" i="13"/>
  <c r="GY13" i="13" s="1"/>
  <c r="GK12" i="13"/>
  <c r="GX13" i="13" s="1"/>
  <c r="HA13" i="13" s="1"/>
  <c r="GE12" i="13"/>
  <c r="FM12" i="13"/>
  <c r="DZ12" i="13"/>
  <c r="H17" i="13" s="1"/>
  <c r="DY12" i="13"/>
  <c r="DX12" i="13"/>
  <c r="DW12" i="13"/>
  <c r="DV12" i="13"/>
  <c r="F17" i="13" s="1"/>
  <c r="DU12" i="13"/>
  <c r="DT12" i="13"/>
  <c r="DS12" i="13"/>
  <c r="Z12" i="13"/>
  <c r="Y12" i="13"/>
  <c r="X12" i="13"/>
  <c r="NI11" i="13"/>
  <c r="NC11" i="13"/>
  <c r="KY11" i="13"/>
  <c r="KX11" i="13"/>
  <c r="KW11" i="13"/>
  <c r="KV11" i="13"/>
  <c r="KU11" i="13"/>
  <c r="KT11" i="13"/>
  <c r="KP11" i="13"/>
  <c r="KE11" i="13"/>
  <c r="KC11" i="13"/>
  <c r="KD11" i="13" s="1"/>
  <c r="KG11" i="13" s="1"/>
  <c r="LG12" i="13" s="1"/>
  <c r="LP12" i="13" s="1"/>
  <c r="JU11" i="13"/>
  <c r="MI11" i="13" s="1"/>
  <c r="IV11" i="13"/>
  <c r="MF11" i="13" s="1"/>
  <c r="ML11" i="13" s="1"/>
  <c r="ID11" i="13"/>
  <c r="IC11" i="13"/>
  <c r="JC11" i="13" s="1"/>
  <c r="JJ11" i="13" s="1"/>
  <c r="LN12" i="13" s="1"/>
  <c r="HE11" i="13"/>
  <c r="HA11" i="13"/>
  <c r="GR11" i="13"/>
  <c r="GN11" i="13"/>
  <c r="GE11" i="13"/>
  <c r="FM11" i="13"/>
  <c r="CB11" i="13"/>
  <c r="BY11" i="13"/>
  <c r="BV11" i="13"/>
  <c r="BR11" i="13"/>
  <c r="BN11" i="13"/>
  <c r="BJ11" i="13"/>
  <c r="BF11" i="13"/>
  <c r="BB11" i="13"/>
  <c r="AX11" i="13"/>
  <c r="AJ11" i="13"/>
  <c r="AI11" i="13"/>
  <c r="AH11" i="13"/>
  <c r="N11" i="13"/>
  <c r="M11" i="13"/>
  <c r="L11" i="13"/>
  <c r="J11" i="13"/>
  <c r="NI10" i="13"/>
  <c r="KY10" i="13"/>
  <c r="KX10" i="13"/>
  <c r="KW10" i="13"/>
  <c r="KV10" i="13"/>
  <c r="KU10" i="13"/>
  <c r="KT10" i="13"/>
  <c r="KP10" i="13"/>
  <c r="KE10" i="13"/>
  <c r="KC10" i="13"/>
  <c r="KD10" i="13" s="1"/>
  <c r="KG10" i="13" s="1"/>
  <c r="LG11" i="13" s="1"/>
  <c r="LP11" i="13" s="1"/>
  <c r="JU10" i="13"/>
  <c r="MI10" i="13" s="1"/>
  <c r="IV10" i="13"/>
  <c r="MF10" i="13" s="1"/>
  <c r="ML10" i="13" s="1"/>
  <c r="ID10" i="13"/>
  <c r="IC10" i="13"/>
  <c r="JC10" i="13" s="1"/>
  <c r="JJ10" i="13" s="1"/>
  <c r="LN11" i="13" s="1"/>
  <c r="HE10" i="13"/>
  <c r="HA10" i="13"/>
  <c r="GR10" i="13"/>
  <c r="GN10" i="13"/>
  <c r="GE10" i="13"/>
  <c r="FM10" i="13"/>
  <c r="CB10" i="13"/>
  <c r="BY10" i="13"/>
  <c r="BV10" i="13"/>
  <c r="BR10" i="13"/>
  <c r="BN10" i="13"/>
  <c r="BJ10" i="13"/>
  <c r="BF10" i="13"/>
  <c r="BB10" i="13"/>
  <c r="AX10" i="13"/>
  <c r="AA10" i="13"/>
  <c r="NI9" i="13"/>
  <c r="MT9" i="13"/>
  <c r="KY9" i="13"/>
  <c r="KX9" i="13"/>
  <c r="KW9" i="13"/>
  <c r="KV9" i="13"/>
  <c r="KU9" i="13"/>
  <c r="KT9" i="13"/>
  <c r="KP9" i="13"/>
  <c r="KE9" i="13"/>
  <c r="KC9" i="13"/>
  <c r="KD9" i="13" s="1"/>
  <c r="KG9" i="13" s="1"/>
  <c r="LG10" i="13" s="1"/>
  <c r="LP10" i="13" s="1"/>
  <c r="JU9" i="13"/>
  <c r="MI9" i="13" s="1"/>
  <c r="IV9" i="13"/>
  <c r="MF9" i="13" s="1"/>
  <c r="ML9" i="13" s="1"/>
  <c r="ID9" i="13"/>
  <c r="IC9" i="13"/>
  <c r="JC9" i="13" s="1"/>
  <c r="JJ9" i="13" s="1"/>
  <c r="LN10" i="13" s="1"/>
  <c r="HQ9" i="13"/>
  <c r="HP9" i="13"/>
  <c r="HO9" i="13"/>
  <c r="HR9" i="13" s="1"/>
  <c r="HM9" i="13"/>
  <c r="HL9" i="13"/>
  <c r="HK9" i="13"/>
  <c r="HN9" i="13" s="1"/>
  <c r="HE9" i="13"/>
  <c r="HA9" i="13"/>
  <c r="GR9" i="13"/>
  <c r="GN9" i="13"/>
  <c r="GE9" i="13"/>
  <c r="FM9" i="13"/>
  <c r="FC9" i="13"/>
  <c r="H19" i="13" s="1"/>
  <c r="EY9" i="13"/>
  <c r="EX9" i="13"/>
  <c r="EW9" i="13"/>
  <c r="EU9" i="13"/>
  <c r="ET9" i="13"/>
  <c r="ES9" i="13"/>
  <c r="EL9" i="13"/>
  <c r="EK9" i="13"/>
  <c r="EJ9" i="13"/>
  <c r="EH9" i="13"/>
  <c r="EG9" i="13"/>
  <c r="EF9" i="13"/>
  <c r="DM9" i="13"/>
  <c r="H16" i="13" s="1"/>
  <c r="DL9" i="13"/>
  <c r="DK9" i="13"/>
  <c r="F16" i="13" s="1"/>
  <c r="DJ9" i="13"/>
  <c r="DD9" i="13"/>
  <c r="H15" i="13" s="1"/>
  <c r="DC9" i="13"/>
  <c r="DB9" i="13"/>
  <c r="DA9" i="13"/>
  <c r="F15" i="13" s="1"/>
  <c r="CZ9" i="13"/>
  <c r="CS9" i="13"/>
  <c r="CR9" i="13"/>
  <c r="CQ9" i="13"/>
  <c r="CO9" i="13"/>
  <c r="CN9" i="13"/>
  <c r="CM9" i="13"/>
  <c r="CB9" i="13"/>
  <c r="BY9" i="13"/>
  <c r="BV9" i="13"/>
  <c r="BR9" i="13"/>
  <c r="BN9" i="13"/>
  <c r="BJ9" i="13"/>
  <c r="BF9" i="13"/>
  <c r="BB9" i="13"/>
  <c r="AX9" i="13"/>
  <c r="N9" i="13"/>
  <c r="K9" i="13"/>
  <c r="NI8" i="13"/>
  <c r="NH8" i="13"/>
  <c r="NH9" i="13" s="1"/>
  <c r="NH10" i="13" s="1"/>
  <c r="NH11" i="13" s="1"/>
  <c r="NH12" i="13" s="1"/>
  <c r="NH13" i="13" s="1"/>
  <c r="NH14" i="13" s="1"/>
  <c r="NH15" i="13" s="1"/>
  <c r="NH16" i="13" s="1"/>
  <c r="NH17" i="13" s="1"/>
  <c r="NH18" i="13" s="1"/>
  <c r="NH19" i="13" s="1"/>
  <c r="NH20" i="13" s="1"/>
  <c r="NH21" i="13" s="1"/>
  <c r="NH22" i="13" s="1"/>
  <c r="NH23" i="13" s="1"/>
  <c r="NH24" i="13" s="1"/>
  <c r="NH25" i="13" s="1"/>
  <c r="NH26" i="13" s="1"/>
  <c r="NH27" i="13" s="1"/>
  <c r="NH28" i="13" s="1"/>
  <c r="NH29" i="13" s="1"/>
  <c r="NH30" i="13" s="1"/>
  <c r="NH31" i="13" s="1"/>
  <c r="NH32" i="13" s="1"/>
  <c r="NH34" i="13" s="1"/>
  <c r="NH35" i="13" s="1"/>
  <c r="MX8" i="13"/>
  <c r="MX9" i="13" s="1"/>
  <c r="MX10" i="13" s="1"/>
  <c r="MX11" i="13" s="1"/>
  <c r="MX12" i="13" s="1"/>
  <c r="MX13" i="13" s="1"/>
  <c r="MX14" i="13" s="1"/>
  <c r="MX15" i="13" s="1"/>
  <c r="MX16" i="13" s="1"/>
  <c r="MX17" i="13" s="1"/>
  <c r="MX18" i="13" s="1"/>
  <c r="MX19" i="13" s="1"/>
  <c r="MX20" i="13" s="1"/>
  <c r="MX21" i="13" s="1"/>
  <c r="MX22" i="13" s="1"/>
  <c r="MX23" i="13" s="1"/>
  <c r="MX24" i="13" s="1"/>
  <c r="MX25" i="13" s="1"/>
  <c r="MX26" i="13" s="1"/>
  <c r="MX27" i="13" s="1"/>
  <c r="MX28" i="13" s="1"/>
  <c r="MX29" i="13" s="1"/>
  <c r="MX30" i="13" s="1"/>
  <c r="MX31" i="13" s="1"/>
  <c r="MX32" i="13" s="1"/>
  <c r="MX34" i="13" s="1"/>
  <c r="MX35" i="13" s="1"/>
  <c r="KY8" i="13"/>
  <c r="KX8" i="13"/>
  <c r="KW8" i="13"/>
  <c r="KV8" i="13"/>
  <c r="KU8" i="13"/>
  <c r="KT8" i="13"/>
  <c r="KP8" i="13"/>
  <c r="KE8" i="13"/>
  <c r="KC8" i="13"/>
  <c r="KD8" i="13" s="1"/>
  <c r="KG8" i="13" s="1"/>
  <c r="LG9" i="13" s="1"/>
  <c r="LP9" i="13" s="1"/>
  <c r="JU8" i="13"/>
  <c r="MI8" i="13" s="1"/>
  <c r="IV8" i="13"/>
  <c r="MF8" i="13" s="1"/>
  <c r="ML8" i="13" s="1"/>
  <c r="ID8" i="13"/>
  <c r="IC8" i="13"/>
  <c r="JC8" i="13" s="1"/>
  <c r="JJ8" i="13" s="1"/>
  <c r="LN9" i="13" s="1"/>
  <c r="HR8" i="13"/>
  <c r="HN8" i="13"/>
  <c r="HE8" i="13"/>
  <c r="HA8" i="13"/>
  <c r="GR8" i="13"/>
  <c r="GN8" i="13"/>
  <c r="GE8" i="13"/>
  <c r="FM8" i="13"/>
  <c r="FG8" i="13"/>
  <c r="FG9" i="13" s="1"/>
  <c r="FG10" i="13" s="1"/>
  <c r="FG11" i="13" s="1"/>
  <c r="FG12" i="13" s="1"/>
  <c r="FG13" i="13" s="1"/>
  <c r="FG14" i="13" s="1"/>
  <c r="FG15" i="13" s="1"/>
  <c r="FG16" i="13" s="1"/>
  <c r="FG17" i="13" s="1"/>
  <c r="FG18" i="13" s="1"/>
  <c r="FG19" i="13" s="1"/>
  <c r="FG20" i="13" s="1"/>
  <c r="FG21" i="13" s="1"/>
  <c r="FG22" i="13" s="1"/>
  <c r="FG23" i="13" s="1"/>
  <c r="FG24" i="13" s="1"/>
  <c r="FG25" i="13" s="1"/>
  <c r="FG26" i="13" s="1"/>
  <c r="FG27" i="13" s="1"/>
  <c r="FG28" i="13" s="1"/>
  <c r="FG29" i="13" s="1"/>
  <c r="FG30" i="13" s="1"/>
  <c r="FG31" i="13" s="1"/>
  <c r="FG32" i="13" s="1"/>
  <c r="FG33" i="13" s="1"/>
  <c r="FG34" i="13" s="1"/>
  <c r="FG35" i="13" s="1"/>
  <c r="FG36" i="13" s="1"/>
  <c r="EZ8" i="13"/>
  <c r="EV8" i="13"/>
  <c r="EM8" i="13"/>
  <c r="EI8" i="13"/>
  <c r="CT8" i="13"/>
  <c r="CP8" i="13"/>
  <c r="CB8" i="13"/>
  <c r="BY8" i="13"/>
  <c r="BV8" i="13"/>
  <c r="BR8" i="13"/>
  <c r="BN8" i="13"/>
  <c r="BJ8" i="13"/>
  <c r="BF8" i="13"/>
  <c r="BB8" i="13"/>
  <c r="AX8" i="13"/>
  <c r="AF8" i="13"/>
  <c r="AF9" i="13" s="1"/>
  <c r="AF10" i="13" s="1"/>
  <c r="AF11" i="13" s="1"/>
  <c r="AF12" i="13" s="1"/>
  <c r="AF13" i="13" s="1"/>
  <c r="AF14" i="13" s="1"/>
  <c r="AF15" i="13" s="1"/>
  <c r="AF16" i="13" s="1"/>
  <c r="AF17" i="13" s="1"/>
  <c r="AF18" i="13" s="1"/>
  <c r="AF19" i="13" s="1"/>
  <c r="AF20" i="13" s="1"/>
  <c r="AF21" i="13" s="1"/>
  <c r="N8" i="13"/>
  <c r="K8" i="13"/>
  <c r="H8" i="13"/>
  <c r="F8" i="13"/>
  <c r="NI7" i="13"/>
  <c r="MR7" i="13"/>
  <c r="MR8" i="13" s="1"/>
  <c r="MR9" i="13" s="1"/>
  <c r="MR10" i="13" s="1"/>
  <c r="MR11" i="13" s="1"/>
  <c r="MR12" i="13" s="1"/>
  <c r="MR13" i="13" s="1"/>
  <c r="LE7" i="13"/>
  <c r="LE8" i="13" s="1"/>
  <c r="LE9" i="13" s="1"/>
  <c r="LE10" i="13" s="1"/>
  <c r="LE11" i="13" s="1"/>
  <c r="LE12" i="13" s="1"/>
  <c r="LE13" i="13" s="1"/>
  <c r="LE14" i="13" s="1"/>
  <c r="LE15" i="13" s="1"/>
  <c r="LE16" i="13" s="1"/>
  <c r="LE17" i="13" s="1"/>
  <c r="LE18" i="13" s="1"/>
  <c r="LE19" i="13" s="1"/>
  <c r="LE20" i="13" s="1"/>
  <c r="LE21" i="13" s="1"/>
  <c r="LE22" i="13" s="1"/>
  <c r="LE23" i="13" s="1"/>
  <c r="LE24" i="13" s="1"/>
  <c r="LE25" i="13" s="1"/>
  <c r="LE26" i="13" s="1"/>
  <c r="LE27" i="13" s="1"/>
  <c r="LE28" i="13" s="1"/>
  <c r="KY7" i="13"/>
  <c r="KX7" i="13"/>
  <c r="KW7" i="13"/>
  <c r="KV7" i="13"/>
  <c r="KU7" i="13"/>
  <c r="KT7" i="13"/>
  <c r="KP7" i="13"/>
  <c r="KE7" i="13"/>
  <c r="KC7" i="13"/>
  <c r="KD7" i="13" s="1"/>
  <c r="KG7" i="13" s="1"/>
  <c r="LG8" i="13" s="1"/>
  <c r="LP8" i="13" s="1"/>
  <c r="JU7" i="13"/>
  <c r="MI7" i="13" s="1"/>
  <c r="IV7" i="13"/>
  <c r="MF7" i="13" s="1"/>
  <c r="ML7" i="13" s="1"/>
  <c r="ID7" i="13"/>
  <c r="IC7" i="13"/>
  <c r="JC7" i="13" s="1"/>
  <c r="JJ7" i="13" s="1"/>
  <c r="HR7" i="13"/>
  <c r="HN7" i="13"/>
  <c r="HA7" i="13"/>
  <c r="GR7" i="13"/>
  <c r="GN7" i="13"/>
  <c r="GE7" i="13"/>
  <c r="FM7" i="13"/>
  <c r="EZ7" i="13"/>
  <c r="EV7" i="13"/>
  <c r="EM7" i="13"/>
  <c r="EI7" i="13"/>
  <c r="CT7" i="13"/>
  <c r="CP7" i="13"/>
  <c r="CB7" i="13"/>
  <c r="BY7" i="13"/>
  <c r="BV7" i="13"/>
  <c r="BR7" i="13"/>
  <c r="BN7" i="13"/>
  <c r="BJ7" i="13"/>
  <c r="BF7" i="13"/>
  <c r="BB7" i="13"/>
  <c r="AX7" i="13"/>
  <c r="AJ7" i="13"/>
  <c r="AI7" i="13"/>
  <c r="AH7" i="13"/>
  <c r="AA7" i="13"/>
  <c r="V7" i="13"/>
  <c r="V8" i="13" s="1"/>
  <c r="V10" i="13" s="1"/>
  <c r="V11" i="13" s="1"/>
  <c r="V12" i="13" s="1"/>
  <c r="V14" i="13" s="1"/>
  <c r="V15" i="13" s="1"/>
  <c r="V16" i="13" s="1"/>
  <c r="V18" i="13" s="1"/>
  <c r="V19" i="13" s="1"/>
  <c r="V20" i="13" s="1"/>
  <c r="N7" i="13"/>
  <c r="K7" i="13"/>
  <c r="B7" i="13"/>
  <c r="B8" i="13" s="1"/>
  <c r="B9" i="13" s="1"/>
  <c r="B10" i="13" s="1"/>
  <c r="B11" i="13" s="1"/>
  <c r="B12" i="13" s="1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B24" i="13" s="1"/>
  <c r="B25" i="13" s="1"/>
  <c r="KY6" i="13"/>
  <c r="KX6" i="13"/>
  <c r="KX26" i="13" s="1"/>
  <c r="KY27" i="13" s="1"/>
  <c r="KW6" i="13"/>
  <c r="KV6" i="13"/>
  <c r="KV26" i="13" s="1"/>
  <c r="KW27" i="13" s="1"/>
  <c r="KU6" i="13"/>
  <c r="KT6" i="13"/>
  <c r="KP6" i="13"/>
  <c r="KE6" i="13"/>
  <c r="KC6" i="13"/>
  <c r="JU6" i="13"/>
  <c r="MI6" i="13" s="1"/>
  <c r="MI26" i="13" s="1"/>
  <c r="IV6" i="13"/>
  <c r="MF6" i="13" s="1"/>
  <c r="ID6" i="13"/>
  <c r="IC6" i="13"/>
  <c r="JC6" i="13" s="1"/>
  <c r="JJ6" i="13" s="1"/>
  <c r="HR6" i="13"/>
  <c r="H24" i="13" s="1"/>
  <c r="HN6" i="13"/>
  <c r="F24" i="13" s="1"/>
  <c r="HE6" i="13"/>
  <c r="HA6" i="13"/>
  <c r="GR6" i="13"/>
  <c r="GR12" i="13" s="1"/>
  <c r="HE13" i="13" s="1"/>
  <c r="GN6" i="13"/>
  <c r="GN12" i="13" s="1"/>
  <c r="GE6" i="13"/>
  <c r="GE14" i="13" s="1"/>
  <c r="EZ6" i="13"/>
  <c r="EV6" i="13"/>
  <c r="EV9" i="13" s="1"/>
  <c r="F19" i="13" s="1"/>
  <c r="G19" i="13" s="1"/>
  <c r="EM6" i="13"/>
  <c r="EM9" i="13" s="1"/>
  <c r="H18" i="13" s="1"/>
  <c r="EI6" i="13"/>
  <c r="EI9" i="13" s="1"/>
  <c r="F18" i="13" s="1"/>
  <c r="DV6" i="13"/>
  <c r="CT6" i="13"/>
  <c r="CT9" i="13" s="1"/>
  <c r="H14" i="13" s="1"/>
  <c r="CP6" i="13"/>
  <c r="CP9" i="13" s="1"/>
  <c r="F14" i="13" s="1"/>
  <c r="KO5" i="13"/>
  <c r="LN4" i="13"/>
  <c r="LL4" i="13"/>
  <c r="KV4" i="13"/>
  <c r="KQ4" i="13"/>
  <c r="KP4" i="13"/>
  <c r="JE4" i="13"/>
  <c r="IM4" i="13"/>
  <c r="FP4" i="13"/>
  <c r="FN4" i="13"/>
  <c r="AJ4" i="13"/>
  <c r="AI4" i="13"/>
  <c r="AH4" i="13"/>
  <c r="CQ3" i="13"/>
  <c r="DB3" i="13" s="1"/>
  <c r="CM3" i="13"/>
  <c r="CZ3" i="13" s="1"/>
  <c r="HL6" i="8"/>
  <c r="JY4" i="8"/>
  <c r="JY3" i="8"/>
  <c r="JB4" i="8"/>
  <c r="MZ48" i="5"/>
  <c r="JU7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P5" i="8"/>
  <c r="P4" i="8"/>
  <c r="HC8" i="8"/>
  <c r="JK8" i="8"/>
  <c r="JV27" i="8"/>
  <c r="M28" i="8"/>
  <c r="FN28" i="8" s="1"/>
  <c r="JW7" i="8"/>
  <c r="JB8" i="8"/>
  <c r="IW8" i="8"/>
  <c r="IU8" i="8"/>
  <c r="HK5" i="8"/>
  <c r="HK4" i="8"/>
  <c r="HU8" i="8"/>
  <c r="JA8" i="8"/>
  <c r="IS8" i="8"/>
  <c r="IY8" i="8" s="1"/>
  <c r="IT27" i="8"/>
  <c r="IT26" i="8"/>
  <c r="IT25" i="8"/>
  <c r="IT24" i="8"/>
  <c r="IT23" i="8"/>
  <c r="IT22" i="8"/>
  <c r="IT21" i="8"/>
  <c r="IT20" i="8"/>
  <c r="IT19" i="8"/>
  <c r="IT18" i="8"/>
  <c r="IT17" i="8"/>
  <c r="IT16" i="8"/>
  <c r="IT15" i="8"/>
  <c r="IT14" i="8"/>
  <c r="IT13" i="8"/>
  <c r="IT12" i="8"/>
  <c r="IT11" i="8"/>
  <c r="IT10" i="8"/>
  <c r="IT9" i="8"/>
  <c r="IT8" i="8"/>
  <c r="IT7" i="8"/>
  <c r="IT6" i="8"/>
  <c r="IT5" i="8"/>
  <c r="IT4" i="8"/>
  <c r="HA27" i="8"/>
  <c r="HA26" i="8"/>
  <c r="HA25" i="8"/>
  <c r="HA24" i="8"/>
  <c r="HA23" i="8"/>
  <c r="HA22" i="8"/>
  <c r="HA21" i="8"/>
  <c r="HA20" i="8"/>
  <c r="HA19" i="8"/>
  <c r="HA18" i="8"/>
  <c r="HA17" i="8"/>
  <c r="HA16" i="8"/>
  <c r="HA15" i="8"/>
  <c r="HA14" i="8"/>
  <c r="HA13" i="8"/>
  <c r="HA12" i="8"/>
  <c r="HA11" i="8"/>
  <c r="HA10" i="8"/>
  <c r="HA9" i="8"/>
  <c r="HA8" i="8"/>
  <c r="HA7" i="8"/>
  <c r="HA6" i="8"/>
  <c r="HA5" i="8"/>
  <c r="HA4" i="8"/>
  <c r="AT17" i="8"/>
  <c r="D7" i="8"/>
  <c r="D6" i="8"/>
  <c r="D11" i="8"/>
  <c r="JJ27" i="8"/>
  <c r="JW26" i="8" s="1"/>
  <c r="JJ26" i="8"/>
  <c r="JW25" i="8" s="1"/>
  <c r="JJ25" i="8"/>
  <c r="JW24" i="8" s="1"/>
  <c r="JJ24" i="8"/>
  <c r="JW23" i="8" s="1"/>
  <c r="JJ23" i="8"/>
  <c r="JW22" i="8" s="1"/>
  <c r="JJ22" i="8"/>
  <c r="JW21" i="8" s="1"/>
  <c r="JJ21" i="8"/>
  <c r="JW20" i="8" s="1"/>
  <c r="JJ20" i="8"/>
  <c r="JW19" i="8" s="1"/>
  <c r="JJ19" i="8"/>
  <c r="JW18" i="8" s="1"/>
  <c r="JJ18" i="8"/>
  <c r="JW17" i="8" s="1"/>
  <c r="JJ17" i="8"/>
  <c r="JW16" i="8" s="1"/>
  <c r="JJ16" i="8"/>
  <c r="JW15" i="8" s="1"/>
  <c r="JJ15" i="8"/>
  <c r="JW14" i="8" s="1"/>
  <c r="JJ14" i="8"/>
  <c r="JW13" i="8" s="1"/>
  <c r="JJ13" i="8"/>
  <c r="JW12" i="8" s="1"/>
  <c r="JJ12" i="8"/>
  <c r="JW11" i="8" s="1"/>
  <c r="JJ11" i="8"/>
  <c r="JW10" i="8" s="1"/>
  <c r="JJ10" i="8"/>
  <c r="JW9" i="8" s="1"/>
  <c r="JJ9" i="8"/>
  <c r="JW8" i="8" s="1"/>
  <c r="JJ8" i="8"/>
  <c r="JJ7" i="8"/>
  <c r="JW6" i="8" s="1"/>
  <c r="JJ6" i="8"/>
  <c r="JW5" i="8" s="1"/>
  <c r="JJ5" i="8"/>
  <c r="JW4" i="8" s="1"/>
  <c r="JJ4" i="8"/>
  <c r="HT27" i="8"/>
  <c r="HT26" i="8"/>
  <c r="HT25" i="8"/>
  <c r="HT24" i="8"/>
  <c r="HT23" i="8"/>
  <c r="HT22" i="8"/>
  <c r="HT21" i="8"/>
  <c r="HT20" i="8"/>
  <c r="HT19" i="8"/>
  <c r="HT18" i="8"/>
  <c r="HT17" i="8"/>
  <c r="HT16" i="8"/>
  <c r="HT15" i="8"/>
  <c r="IL4" i="8" s="1"/>
  <c r="HT14" i="8"/>
  <c r="HT13" i="8"/>
  <c r="HT12" i="8"/>
  <c r="HT11" i="8"/>
  <c r="HT10" i="8"/>
  <c r="HT9" i="8"/>
  <c r="HT8" i="8"/>
  <c r="HT7" i="8"/>
  <c r="HT6" i="8"/>
  <c r="HT5" i="8"/>
  <c r="HT4" i="8"/>
  <c r="GR27" i="8"/>
  <c r="GR26" i="8"/>
  <c r="GR25" i="8"/>
  <c r="GR24" i="8"/>
  <c r="GR23" i="8"/>
  <c r="GR22" i="8"/>
  <c r="GR21" i="8"/>
  <c r="GR20" i="8"/>
  <c r="GR19" i="8"/>
  <c r="GR18" i="8"/>
  <c r="GR17" i="8"/>
  <c r="GR16" i="8"/>
  <c r="GR15" i="8"/>
  <c r="GR14" i="8"/>
  <c r="GR13" i="8"/>
  <c r="GR12" i="8"/>
  <c r="GR11" i="8"/>
  <c r="GR10" i="8"/>
  <c r="GR9" i="8"/>
  <c r="GR8" i="8"/>
  <c r="GR7" i="8"/>
  <c r="GR6" i="8"/>
  <c r="GR5" i="8"/>
  <c r="GR4" i="8"/>
  <c r="AU27" i="8"/>
  <c r="AU26" i="8"/>
  <c r="AU25" i="8"/>
  <c r="AU24" i="8"/>
  <c r="AU23" i="8"/>
  <c r="AU22" i="8"/>
  <c r="AU21" i="8"/>
  <c r="AU20" i="8"/>
  <c r="AU19" i="8"/>
  <c r="AU18" i="8"/>
  <c r="AU17" i="8"/>
  <c r="AU16" i="8"/>
  <c r="AU15" i="8"/>
  <c r="AU14" i="8"/>
  <c r="AV14" i="8" s="1"/>
  <c r="AU13" i="8"/>
  <c r="AU12" i="8"/>
  <c r="AU11" i="8"/>
  <c r="AU10" i="8"/>
  <c r="AU9" i="8"/>
  <c r="AU8" i="8"/>
  <c r="AU7" i="8"/>
  <c r="AU6" i="8"/>
  <c r="AU5" i="8"/>
  <c r="AV5" i="8" s="1"/>
  <c r="AU4" i="8"/>
  <c r="X8" i="5"/>
  <c r="HC30" i="8"/>
  <c r="ID6" i="5"/>
  <c r="JD6" i="5"/>
  <c r="JF6" i="5"/>
  <c r="ID7" i="5"/>
  <c r="JD7" i="5"/>
  <c r="JF7" i="5"/>
  <c r="ID8" i="5"/>
  <c r="JD8" i="5"/>
  <c r="JF8" i="5"/>
  <c r="ID9" i="5"/>
  <c r="JD9" i="5"/>
  <c r="JF9" i="5"/>
  <c r="ID10" i="5"/>
  <c r="JD10" i="5"/>
  <c r="JF10" i="5"/>
  <c r="ID11" i="5"/>
  <c r="JD11" i="5"/>
  <c r="JF11" i="5"/>
  <c r="ID12" i="5"/>
  <c r="JD12" i="5"/>
  <c r="JF12" i="5"/>
  <c r="ID13" i="5"/>
  <c r="JD13" i="5"/>
  <c r="JF13" i="5"/>
  <c r="ID14" i="5"/>
  <c r="JD14" i="5"/>
  <c r="JF14" i="5"/>
  <c r="ID15" i="5"/>
  <c r="JD15" i="5"/>
  <c r="JF15" i="5"/>
  <c r="ID16" i="5"/>
  <c r="JD16" i="5"/>
  <c r="JF16" i="5"/>
  <c r="ID17" i="5"/>
  <c r="JD17" i="5"/>
  <c r="JF17" i="5"/>
  <c r="ID18" i="5"/>
  <c r="JD18" i="5"/>
  <c r="JF18" i="5"/>
  <c r="ID19" i="5"/>
  <c r="JD19" i="5"/>
  <c r="JF19" i="5"/>
  <c r="ID20" i="5"/>
  <c r="JD20" i="5"/>
  <c r="JF20" i="5"/>
  <c r="ID21" i="5"/>
  <c r="JD21" i="5"/>
  <c r="JF21" i="5"/>
  <c r="ID22" i="5"/>
  <c r="JD22" i="5"/>
  <c r="JF22" i="5"/>
  <c r="ID23" i="5"/>
  <c r="JD23" i="5"/>
  <c r="JF23" i="5"/>
  <c r="ID24" i="5"/>
  <c r="JD24" i="5"/>
  <c r="JF24" i="5"/>
  <c r="ID25" i="5"/>
  <c r="JD25" i="5"/>
  <c r="JF25" i="5"/>
  <c r="JF26" i="5"/>
  <c r="K14" i="5"/>
  <c r="JH6" i="5"/>
  <c r="JH7" i="5"/>
  <c r="JH8" i="5"/>
  <c r="JH9" i="5"/>
  <c r="JH10" i="5"/>
  <c r="JH11" i="5"/>
  <c r="JH12" i="5"/>
  <c r="JH13" i="5"/>
  <c r="JH14" i="5"/>
  <c r="JH15" i="5"/>
  <c r="JH16" i="5"/>
  <c r="JH17" i="5"/>
  <c r="JH18" i="5"/>
  <c r="JH19" i="5"/>
  <c r="JH20" i="5"/>
  <c r="JH21" i="5"/>
  <c r="JH22" i="5"/>
  <c r="JH23" i="5"/>
  <c r="JH24" i="5"/>
  <c r="JH25" i="5"/>
  <c r="JH26" i="5"/>
  <c r="K15" i="5"/>
  <c r="IC6" i="5"/>
  <c r="JC6" i="5"/>
  <c r="JJ6" i="5"/>
  <c r="IC7" i="5"/>
  <c r="JC7" i="5"/>
  <c r="JJ7" i="5"/>
  <c r="IC8" i="5"/>
  <c r="JC8" i="5"/>
  <c r="JJ8" i="5"/>
  <c r="IC9" i="5"/>
  <c r="JC9" i="5"/>
  <c r="JJ9" i="5"/>
  <c r="IC10" i="5"/>
  <c r="JC10" i="5"/>
  <c r="JJ10" i="5"/>
  <c r="IC11" i="5"/>
  <c r="JC11" i="5"/>
  <c r="JJ11" i="5"/>
  <c r="IC12" i="5"/>
  <c r="JC12" i="5"/>
  <c r="JJ12" i="5"/>
  <c r="IC13" i="5"/>
  <c r="JC13" i="5"/>
  <c r="JJ13" i="5"/>
  <c r="IC14" i="5"/>
  <c r="JC14" i="5"/>
  <c r="JJ14" i="5"/>
  <c r="IC15" i="5"/>
  <c r="JC15" i="5"/>
  <c r="JJ15" i="5"/>
  <c r="IC16" i="5"/>
  <c r="JC16" i="5"/>
  <c r="JJ16" i="5"/>
  <c r="IC17" i="5"/>
  <c r="JC17" i="5"/>
  <c r="JJ17" i="5"/>
  <c r="IC18" i="5"/>
  <c r="JC18" i="5"/>
  <c r="JJ18" i="5"/>
  <c r="IC19" i="5"/>
  <c r="JC19" i="5"/>
  <c r="JJ19" i="5"/>
  <c r="IC20" i="5"/>
  <c r="JC20" i="5"/>
  <c r="JJ20" i="5"/>
  <c r="IC21" i="5"/>
  <c r="JC21" i="5"/>
  <c r="JJ21" i="5"/>
  <c r="IC22" i="5"/>
  <c r="JC22" i="5"/>
  <c r="JJ22" i="5"/>
  <c r="IC23" i="5"/>
  <c r="JC23" i="5"/>
  <c r="JJ23" i="5"/>
  <c r="IC24" i="5"/>
  <c r="JC24" i="5"/>
  <c r="JJ24" i="5"/>
  <c r="IC25" i="5"/>
  <c r="JC25" i="5"/>
  <c r="JJ25" i="5"/>
  <c r="JJ26" i="5"/>
  <c r="K16" i="5"/>
  <c r="JL26" i="5"/>
  <c r="K17" i="5"/>
  <c r="JR6" i="5"/>
  <c r="JR7" i="5"/>
  <c r="JR8" i="5"/>
  <c r="JR9" i="5"/>
  <c r="JR10" i="5"/>
  <c r="JR11" i="5"/>
  <c r="JR12" i="5"/>
  <c r="JR13" i="5"/>
  <c r="JR14" i="5"/>
  <c r="JR15" i="5"/>
  <c r="JR16" i="5"/>
  <c r="JR17" i="5"/>
  <c r="JR18" i="5"/>
  <c r="JR19" i="5"/>
  <c r="JR20" i="5"/>
  <c r="JR21" i="5"/>
  <c r="JR22" i="5"/>
  <c r="JR23" i="5"/>
  <c r="JR24" i="5"/>
  <c r="JR25" i="5"/>
  <c r="JR26" i="5"/>
  <c r="K18" i="5"/>
  <c r="JN6" i="5"/>
  <c r="JN7" i="5"/>
  <c r="JN8" i="5"/>
  <c r="JN9" i="5"/>
  <c r="JN10" i="5"/>
  <c r="JN11" i="5"/>
  <c r="JN12" i="5"/>
  <c r="JN13" i="5"/>
  <c r="JN14" i="5"/>
  <c r="JN15" i="5"/>
  <c r="JN16" i="5"/>
  <c r="JN17" i="5"/>
  <c r="JN18" i="5"/>
  <c r="JN19" i="5"/>
  <c r="JN20" i="5"/>
  <c r="JN21" i="5"/>
  <c r="JN22" i="5"/>
  <c r="JN23" i="5"/>
  <c r="JN24" i="5"/>
  <c r="JN25" i="5"/>
  <c r="JN26" i="5"/>
  <c r="JP6" i="5"/>
  <c r="JP7" i="5"/>
  <c r="JP8" i="5"/>
  <c r="JP9" i="5"/>
  <c r="JP10" i="5"/>
  <c r="JP11" i="5"/>
  <c r="JP12" i="5"/>
  <c r="JP13" i="5"/>
  <c r="JP14" i="5"/>
  <c r="JP15" i="5"/>
  <c r="JP16" i="5"/>
  <c r="JP17" i="5"/>
  <c r="JP18" i="5"/>
  <c r="JP19" i="5"/>
  <c r="JP20" i="5"/>
  <c r="JP21" i="5"/>
  <c r="JP22" i="5"/>
  <c r="JP23" i="5"/>
  <c r="JP24" i="5"/>
  <c r="JP25" i="5"/>
  <c r="JP26" i="5"/>
  <c r="K19" i="5"/>
  <c r="JT6" i="5"/>
  <c r="JT7" i="5"/>
  <c r="JT8" i="5"/>
  <c r="JT9" i="5"/>
  <c r="JT10" i="5"/>
  <c r="JT11" i="5"/>
  <c r="JT12" i="5"/>
  <c r="JT13" i="5"/>
  <c r="JT14" i="5"/>
  <c r="JT15" i="5"/>
  <c r="JT16" i="5"/>
  <c r="JT17" i="5"/>
  <c r="JT18" i="5"/>
  <c r="JT19" i="5"/>
  <c r="JT20" i="5"/>
  <c r="JT21" i="5"/>
  <c r="JT22" i="5"/>
  <c r="JT23" i="5"/>
  <c r="JT24" i="5"/>
  <c r="JT25" i="5"/>
  <c r="JT26" i="5"/>
  <c r="K20" i="5"/>
  <c r="K21" i="5"/>
  <c r="GR28" i="8"/>
  <c r="AR4" i="8"/>
  <c r="AT4" i="8"/>
  <c r="AV4" i="8"/>
  <c r="AR5" i="8"/>
  <c r="AT5" i="8"/>
  <c r="AR6" i="8"/>
  <c r="AT6" i="8"/>
  <c r="AV6" i="8"/>
  <c r="AR7" i="8"/>
  <c r="AT7" i="8"/>
  <c r="AV7" i="8"/>
  <c r="AR8" i="8"/>
  <c r="AT8" i="8"/>
  <c r="AV8" i="8"/>
  <c r="AR9" i="8"/>
  <c r="AT9" i="8"/>
  <c r="AV9" i="8"/>
  <c r="AR10" i="8"/>
  <c r="AT10" i="8"/>
  <c r="AV10" i="8"/>
  <c r="AR11" i="8"/>
  <c r="AT11" i="8"/>
  <c r="AV11" i="8"/>
  <c r="AR12" i="8"/>
  <c r="AT12" i="8"/>
  <c r="AV12" i="8"/>
  <c r="AR13" i="8"/>
  <c r="AT13" i="8"/>
  <c r="AV13" i="8"/>
  <c r="AR14" i="8"/>
  <c r="AT14" i="8"/>
  <c r="AR15" i="8"/>
  <c r="AT15" i="8"/>
  <c r="AV15" i="8"/>
  <c r="AR16" i="8"/>
  <c r="AT16" i="8"/>
  <c r="AV16" i="8"/>
  <c r="AR17" i="8"/>
  <c r="AV17" i="8"/>
  <c r="AR18" i="8"/>
  <c r="AT18" i="8"/>
  <c r="AV18" i="8"/>
  <c r="AR19" i="8"/>
  <c r="AT19" i="8"/>
  <c r="AV19" i="8"/>
  <c r="AR20" i="8"/>
  <c r="AT20" i="8"/>
  <c r="AV20" i="8"/>
  <c r="AR21" i="8"/>
  <c r="AT21" i="8"/>
  <c r="AV21" i="8"/>
  <c r="AR22" i="8"/>
  <c r="AT22" i="8"/>
  <c r="AV22" i="8"/>
  <c r="AR23" i="8"/>
  <c r="AT23" i="8"/>
  <c r="AV23" i="8"/>
  <c r="AR24" i="8"/>
  <c r="AT24" i="8"/>
  <c r="AV24" i="8"/>
  <c r="AR25" i="8"/>
  <c r="AT25" i="8"/>
  <c r="AV25" i="8"/>
  <c r="AR26" i="8"/>
  <c r="AT26" i="8"/>
  <c r="AV26" i="8"/>
  <c r="AR27" i="8"/>
  <c r="AT27" i="8"/>
  <c r="AV27" i="8"/>
  <c r="BM4" i="8"/>
  <c r="BH6" i="8"/>
  <c r="BH5" i="8"/>
  <c r="BR28" i="8"/>
  <c r="BH4" i="8"/>
  <c r="BP28" i="8"/>
  <c r="BM5" i="8"/>
  <c r="BM6" i="8"/>
  <c r="BM7" i="8"/>
  <c r="BM8" i="8"/>
  <c r="BM9" i="8"/>
  <c r="BM10" i="8"/>
  <c r="BM11" i="8"/>
  <c r="BM12" i="8"/>
  <c r="BM13" i="8"/>
  <c r="BM14" i="8"/>
  <c r="BM15" i="8"/>
  <c r="BM16" i="8"/>
  <c r="BM17" i="8"/>
  <c r="BM18" i="8"/>
  <c r="BM19" i="8"/>
  <c r="BM20" i="8"/>
  <c r="BM21" i="8"/>
  <c r="BM22" i="8"/>
  <c r="BM23" i="8"/>
  <c r="BM24" i="8"/>
  <c r="BM25" i="8"/>
  <c r="BM26" i="8"/>
  <c r="BM27" i="8"/>
  <c r="CJ4" i="8"/>
  <c r="CA4" i="8"/>
  <c r="CE4" i="8"/>
  <c r="CA5" i="8"/>
  <c r="CE5" i="8"/>
  <c r="CA6" i="8"/>
  <c r="CE6" i="8"/>
  <c r="CA7" i="8"/>
  <c r="CE7" i="8"/>
  <c r="CA8" i="8"/>
  <c r="CE8" i="8"/>
  <c r="CE9" i="8"/>
  <c r="CO28" i="8"/>
  <c r="CD4" i="8"/>
  <c r="CD5" i="8"/>
  <c r="CD6" i="8"/>
  <c r="CD7" i="8"/>
  <c r="CD8" i="8"/>
  <c r="CD9" i="8"/>
  <c r="CM28" i="8"/>
  <c r="CJ5" i="8"/>
  <c r="CJ6" i="8"/>
  <c r="CJ7" i="8"/>
  <c r="CJ8" i="8"/>
  <c r="CJ9" i="8"/>
  <c r="CJ10" i="8"/>
  <c r="CJ11" i="8"/>
  <c r="CJ12" i="8"/>
  <c r="CJ13" i="8"/>
  <c r="CJ14" i="8"/>
  <c r="CJ15" i="8"/>
  <c r="CJ16" i="8"/>
  <c r="CJ17" i="8"/>
  <c r="CJ18" i="8"/>
  <c r="CJ19" i="8"/>
  <c r="CJ20" i="8"/>
  <c r="CJ21" i="8"/>
  <c r="CJ22" i="8"/>
  <c r="CJ23" i="8"/>
  <c r="CJ24" i="8"/>
  <c r="CJ25" i="8"/>
  <c r="CJ26" i="8"/>
  <c r="CJ27" i="8"/>
  <c r="DI4" i="8"/>
  <c r="DI5" i="8"/>
  <c r="DI6" i="8"/>
  <c r="DI7" i="8"/>
  <c r="DI8" i="8"/>
  <c r="DI9" i="8"/>
  <c r="DI10" i="8"/>
  <c r="DI11" i="8"/>
  <c r="DI12" i="8"/>
  <c r="DI13" i="8"/>
  <c r="DI14" i="8"/>
  <c r="DI15" i="8"/>
  <c r="DI16" i="8"/>
  <c r="DI17" i="8"/>
  <c r="DI18" i="8"/>
  <c r="DI19" i="8"/>
  <c r="DI20" i="8"/>
  <c r="DI21" i="8"/>
  <c r="DI22" i="8"/>
  <c r="DI23" i="8"/>
  <c r="DI24" i="8"/>
  <c r="DI25" i="8"/>
  <c r="DI26" i="8"/>
  <c r="DI27" i="8"/>
  <c r="GH4" i="8"/>
  <c r="DX4" i="8"/>
  <c r="GH5" i="8"/>
  <c r="DX5" i="8"/>
  <c r="GH6" i="8"/>
  <c r="DX6" i="8"/>
  <c r="GH7" i="8"/>
  <c r="DX7" i="8"/>
  <c r="GH8" i="8"/>
  <c r="DX8" i="8"/>
  <c r="GH9" i="8"/>
  <c r="DX9" i="8"/>
  <c r="GH10" i="8"/>
  <c r="DX10" i="8"/>
  <c r="GH11" i="8"/>
  <c r="DX11" i="8"/>
  <c r="GH12" i="8"/>
  <c r="DX12" i="8"/>
  <c r="GH13" i="8"/>
  <c r="DX13" i="8"/>
  <c r="GH14" i="8"/>
  <c r="DX14" i="8"/>
  <c r="GH15" i="8"/>
  <c r="DX15" i="8"/>
  <c r="GH16" i="8"/>
  <c r="DX16" i="8"/>
  <c r="GH17" i="8"/>
  <c r="DX17" i="8"/>
  <c r="GH18" i="8"/>
  <c r="DX18" i="8"/>
  <c r="GH19" i="8"/>
  <c r="DX19" i="8"/>
  <c r="GH20" i="8"/>
  <c r="DX20" i="8"/>
  <c r="GH21" i="8"/>
  <c r="DX21" i="8"/>
  <c r="GH22" i="8"/>
  <c r="DX22" i="8"/>
  <c r="GH23" i="8"/>
  <c r="DX23" i="8"/>
  <c r="GH24" i="8"/>
  <c r="DX24" i="8"/>
  <c r="GH25" i="8"/>
  <c r="DX25" i="8"/>
  <c r="GH26" i="8"/>
  <c r="DX26" i="8"/>
  <c r="GH27" i="8"/>
  <c r="DX27" i="8"/>
  <c r="EO4" i="8"/>
  <c r="EH7" i="8"/>
  <c r="EI5" i="8"/>
  <c r="W4" i="8"/>
  <c r="EI4" i="8"/>
  <c r="EI6" i="8"/>
  <c r="EO5" i="8"/>
  <c r="W5" i="8"/>
  <c r="EO6" i="8"/>
  <c r="W6" i="8"/>
  <c r="EO7" i="8"/>
  <c r="W7" i="8"/>
  <c r="EO8" i="8"/>
  <c r="W8" i="8"/>
  <c r="EO9" i="8"/>
  <c r="W9" i="8"/>
  <c r="EO10" i="8"/>
  <c r="W10" i="8"/>
  <c r="EO11" i="8"/>
  <c r="W11" i="8"/>
  <c r="EO12" i="8"/>
  <c r="W12" i="8"/>
  <c r="EO13" i="8"/>
  <c r="W13" i="8"/>
  <c r="EO14" i="8"/>
  <c r="W14" i="8"/>
  <c r="EO15" i="8"/>
  <c r="W15" i="8"/>
  <c r="EO16" i="8"/>
  <c r="W16" i="8"/>
  <c r="EO17" i="8"/>
  <c r="W17" i="8"/>
  <c r="EO18" i="8"/>
  <c r="W18" i="8"/>
  <c r="EO19" i="8"/>
  <c r="W19" i="8"/>
  <c r="EO20" i="8"/>
  <c r="W20" i="8"/>
  <c r="EO21" i="8"/>
  <c r="W21" i="8"/>
  <c r="EO22" i="8"/>
  <c r="W22" i="8"/>
  <c r="EO23" i="8"/>
  <c r="W23" i="8"/>
  <c r="EO24" i="8"/>
  <c r="W24" i="8"/>
  <c r="EO25" i="8"/>
  <c r="W25" i="8"/>
  <c r="EO26" i="8"/>
  <c r="W26" i="8"/>
  <c r="EO27" i="8"/>
  <c r="W27" i="8"/>
  <c r="FJ4" i="8"/>
  <c r="FE4" i="8"/>
  <c r="FE5" i="8"/>
  <c r="FE6" i="8"/>
  <c r="FM28" i="8"/>
  <c r="FJ5" i="8"/>
  <c r="FJ6" i="8"/>
  <c r="FJ7" i="8"/>
  <c r="FJ8" i="8"/>
  <c r="FJ9" i="8"/>
  <c r="FJ10" i="8"/>
  <c r="FJ11" i="8"/>
  <c r="FJ12" i="8"/>
  <c r="FJ13" i="8"/>
  <c r="FJ14" i="8"/>
  <c r="FJ15" i="8"/>
  <c r="FJ16" i="8"/>
  <c r="FJ17" i="8"/>
  <c r="FJ18" i="8"/>
  <c r="FJ19" i="8"/>
  <c r="FJ20" i="8"/>
  <c r="FJ21" i="8"/>
  <c r="FJ22" i="8"/>
  <c r="FJ23" i="8"/>
  <c r="FJ24" i="8"/>
  <c r="FJ25" i="8"/>
  <c r="FJ26" i="8"/>
  <c r="FJ27" i="8"/>
  <c r="GG5" i="8"/>
  <c r="GG6" i="8"/>
  <c r="GG7" i="8"/>
  <c r="GG8" i="8"/>
  <c r="GG9" i="8"/>
  <c r="GG10" i="8"/>
  <c r="GG11" i="8"/>
  <c r="GG12" i="8"/>
  <c r="GG13" i="8"/>
  <c r="GG14" i="8"/>
  <c r="GG15" i="8"/>
  <c r="GG16" i="8"/>
  <c r="GG17" i="8"/>
  <c r="GG18" i="8"/>
  <c r="GG19" i="8"/>
  <c r="GG20" i="8"/>
  <c r="GG21" i="8"/>
  <c r="GG22" i="8"/>
  <c r="GG23" i="8"/>
  <c r="GG24" i="8"/>
  <c r="GG25" i="8"/>
  <c r="GG26" i="8"/>
  <c r="GG27" i="8"/>
  <c r="FN24" i="8"/>
  <c r="GP24" i="8" s="1"/>
  <c r="FN23" i="8"/>
  <c r="GP23" i="8" s="1"/>
  <c r="GC8" i="8"/>
  <c r="GQ8" i="8" s="1"/>
  <c r="FN8" i="8"/>
  <c r="GP8" i="8" s="1"/>
  <c r="EY8" i="8"/>
  <c r="GO8" i="8" s="1"/>
  <c r="EB8" i="8"/>
  <c r="GN8" i="8" s="1"/>
  <c r="DS8" i="8"/>
  <c r="GM8" i="8"/>
  <c r="CR8" i="8"/>
  <c r="GL8" i="8" s="1"/>
  <c r="BT8" i="8"/>
  <c r="GK8" i="8"/>
  <c r="BA8" i="8"/>
  <c r="GJ8" i="8" s="1"/>
  <c r="Z30" i="8"/>
  <c r="FM31" i="8"/>
  <c r="FV31" i="8"/>
  <c r="FW31" i="8"/>
  <c r="FX31" i="8"/>
  <c r="FY31" i="8"/>
  <c r="GA31" i="8"/>
  <c r="GB31" i="8"/>
  <c r="GC31" i="8"/>
  <c r="FR5" i="8"/>
  <c r="FR6" i="8"/>
  <c r="FR7" i="8"/>
  <c r="FR8" i="8"/>
  <c r="FR9" i="8"/>
  <c r="FR10" i="8"/>
  <c r="FR11" i="8"/>
  <c r="FR12" i="8"/>
  <c r="FR13" i="8"/>
  <c r="FR14" i="8"/>
  <c r="FR15" i="8"/>
  <c r="FR16" i="8"/>
  <c r="FR17" i="8"/>
  <c r="FR18" i="8"/>
  <c r="FR19" i="8"/>
  <c r="FR20" i="8"/>
  <c r="FR21" i="8"/>
  <c r="FR22" i="8"/>
  <c r="FR23" i="8"/>
  <c r="FR24" i="8"/>
  <c r="FR25" i="8"/>
  <c r="FR26" i="8"/>
  <c r="FR27" i="8"/>
  <c r="FR28" i="8"/>
  <c r="FI5" i="8"/>
  <c r="FI6" i="8"/>
  <c r="FI7" i="8"/>
  <c r="FI8" i="8"/>
  <c r="FI9" i="8"/>
  <c r="FI10" i="8"/>
  <c r="FI11" i="8"/>
  <c r="FI12" i="8"/>
  <c r="FI13" i="8"/>
  <c r="FI14" i="8"/>
  <c r="FI15" i="8"/>
  <c r="FI16" i="8"/>
  <c r="FI17" i="8"/>
  <c r="FI18" i="8"/>
  <c r="FI19" i="8"/>
  <c r="FI20" i="8"/>
  <c r="FI21" i="8"/>
  <c r="FI22" i="8"/>
  <c r="FI23" i="8"/>
  <c r="FI24" i="8"/>
  <c r="FI25" i="8"/>
  <c r="FI26" i="8"/>
  <c r="FI27" i="8"/>
  <c r="FI28" i="8"/>
  <c r="EN5" i="8"/>
  <c r="EN6" i="8"/>
  <c r="EN7" i="8"/>
  <c r="EN8" i="8"/>
  <c r="EN9" i="8"/>
  <c r="EN10" i="8"/>
  <c r="EN11" i="8"/>
  <c r="EN12" i="8"/>
  <c r="EN13" i="8"/>
  <c r="EN14" i="8"/>
  <c r="EN15" i="8"/>
  <c r="EN16" i="8"/>
  <c r="EN17" i="8"/>
  <c r="EN18" i="8"/>
  <c r="EN19" i="8"/>
  <c r="EN20" i="8"/>
  <c r="EN21" i="8"/>
  <c r="EN22" i="8"/>
  <c r="EN23" i="8"/>
  <c r="EN24" i="8"/>
  <c r="EN25" i="8"/>
  <c r="EN26" i="8"/>
  <c r="EN27" i="8"/>
  <c r="EN28" i="8"/>
  <c r="BX5" i="8"/>
  <c r="BX6" i="8"/>
  <c r="BX7" i="8"/>
  <c r="BX8" i="8"/>
  <c r="CI5" i="8"/>
  <c r="CI6" i="8"/>
  <c r="CI7" i="8"/>
  <c r="CI8" i="8"/>
  <c r="CI9" i="8"/>
  <c r="CI10" i="8"/>
  <c r="CI11" i="8"/>
  <c r="CI12" i="8"/>
  <c r="CI13" i="8"/>
  <c r="CI14" i="8"/>
  <c r="CI15" i="8"/>
  <c r="CI16" i="8"/>
  <c r="CI17" i="8"/>
  <c r="CI18" i="8"/>
  <c r="CI19" i="8"/>
  <c r="CI20" i="8"/>
  <c r="CI21" i="8"/>
  <c r="CI22" i="8"/>
  <c r="CI23" i="8"/>
  <c r="CI24" i="8"/>
  <c r="CI25" i="8"/>
  <c r="CI26" i="8"/>
  <c r="CI27" i="8"/>
  <c r="CI28" i="8"/>
  <c r="DW5" i="8"/>
  <c r="DW6" i="8"/>
  <c r="DW7" i="8"/>
  <c r="DW8" i="8"/>
  <c r="DW9" i="8"/>
  <c r="DW10" i="8"/>
  <c r="DW11" i="8"/>
  <c r="DW12" i="8"/>
  <c r="DW13" i="8"/>
  <c r="DW14" i="8"/>
  <c r="DW15" i="8"/>
  <c r="DW16" i="8"/>
  <c r="DW17" i="8"/>
  <c r="DW18" i="8"/>
  <c r="DW19" i="8"/>
  <c r="DW20" i="8"/>
  <c r="DW21" i="8"/>
  <c r="DW22" i="8"/>
  <c r="DW23" i="8"/>
  <c r="DW24" i="8"/>
  <c r="DW25" i="8"/>
  <c r="DW26" i="8"/>
  <c r="DW27" i="8"/>
  <c r="DW28" i="8"/>
  <c r="BS28" i="8"/>
  <c r="BT28" i="8"/>
  <c r="BL5" i="8"/>
  <c r="BL6" i="8"/>
  <c r="BL7" i="8"/>
  <c r="BL8" i="8"/>
  <c r="BL9" i="8"/>
  <c r="BL10" i="8"/>
  <c r="BL11" i="8"/>
  <c r="BL12" i="8"/>
  <c r="BL13" i="8"/>
  <c r="BL14" i="8"/>
  <c r="BL15" i="8"/>
  <c r="BL16" i="8"/>
  <c r="BL17" i="8"/>
  <c r="BL18" i="8"/>
  <c r="BL19" i="8"/>
  <c r="BL20" i="8"/>
  <c r="BL21" i="8"/>
  <c r="BL22" i="8"/>
  <c r="BL23" i="8"/>
  <c r="BL24" i="8"/>
  <c r="BL25" i="8"/>
  <c r="BL26" i="8"/>
  <c r="BL27" i="8"/>
  <c r="BL28" i="8"/>
  <c r="BG6" i="8"/>
  <c r="BF4" i="8"/>
  <c r="AT31" i="8"/>
  <c r="AU31" i="8"/>
  <c r="AV31" i="8"/>
  <c r="AW31" i="8"/>
  <c r="AX31" i="8"/>
  <c r="AY31" i="8"/>
  <c r="AU28" i="8"/>
  <c r="AT28" i="8"/>
  <c r="AQ5" i="8"/>
  <c r="AQ6" i="8"/>
  <c r="AQ7" i="8"/>
  <c r="AQ8" i="8"/>
  <c r="AQ9" i="8"/>
  <c r="AQ10" i="8"/>
  <c r="AQ11" i="8"/>
  <c r="AQ12" i="8"/>
  <c r="AQ13" i="8"/>
  <c r="AQ14" i="8"/>
  <c r="AQ15" i="8"/>
  <c r="AQ16" i="8"/>
  <c r="AQ17" i="8"/>
  <c r="AQ18" i="8"/>
  <c r="AQ19" i="8"/>
  <c r="AQ20" i="8"/>
  <c r="AQ21" i="8"/>
  <c r="AQ22" i="8"/>
  <c r="AQ23" i="8"/>
  <c r="AQ24" i="8"/>
  <c r="AQ25" i="8"/>
  <c r="AQ26" i="8"/>
  <c r="AQ27" i="8"/>
  <c r="AQ28" i="8"/>
  <c r="V5" i="8"/>
  <c r="V6" i="8"/>
  <c r="V7" i="8"/>
  <c r="V8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GZ32" i="8"/>
  <c r="HA32" i="8"/>
  <c r="HB32" i="8"/>
  <c r="HC32" i="8"/>
  <c r="HD32" i="8"/>
  <c r="GK31" i="8"/>
  <c r="GL31" i="8"/>
  <c r="GM31" i="8"/>
  <c r="GN31" i="8"/>
  <c r="GO31" i="8"/>
  <c r="GP31" i="8"/>
  <c r="GQ31" i="8"/>
  <c r="GR31" i="8"/>
  <c r="FN31" i="8"/>
  <c r="BA31" i="8"/>
  <c r="HD28" i="8"/>
  <c r="FL28" i="8"/>
  <c r="GV5" i="8"/>
  <c r="GV6" i="8"/>
  <c r="GV7" i="8"/>
  <c r="GV8" i="8"/>
  <c r="GV9" i="8"/>
  <c r="GV10" i="8"/>
  <c r="GV11" i="8"/>
  <c r="GV12" i="8"/>
  <c r="GV13" i="8"/>
  <c r="GV14" i="8"/>
  <c r="GV15" i="8"/>
  <c r="GV16" i="8"/>
  <c r="GV17" i="8"/>
  <c r="GV18" i="8"/>
  <c r="GV19" i="8"/>
  <c r="GV20" i="8"/>
  <c r="GV21" i="8"/>
  <c r="GV22" i="8"/>
  <c r="GV23" i="8"/>
  <c r="GV24" i="8"/>
  <c r="GV25" i="8"/>
  <c r="GV26" i="8"/>
  <c r="GV27" i="8"/>
  <c r="BZ9" i="8"/>
  <c r="EI7" i="8"/>
  <c r="JI2" i="8"/>
  <c r="HS2" i="8"/>
  <c r="FL2" i="8"/>
  <c r="DC2" i="8"/>
  <c r="DB2" i="8"/>
  <c r="DA2" i="8"/>
  <c r="BQ2" i="8"/>
  <c r="BO2" i="8"/>
  <c r="FJ20" i="5"/>
  <c r="FJ24" i="5"/>
  <c r="FJ31" i="5"/>
  <c r="FJ35" i="5"/>
  <c r="FJ36" i="5"/>
  <c r="FL20" i="5"/>
  <c r="FL24" i="5"/>
  <c r="FL31" i="5"/>
  <c r="FL35" i="5"/>
  <c r="FL36" i="5"/>
  <c r="FK20" i="5"/>
  <c r="FK24" i="5"/>
  <c r="FK31" i="5"/>
  <c r="FK35" i="5"/>
  <c r="FK36" i="5"/>
  <c r="FM36" i="5"/>
  <c r="KE6" i="5"/>
  <c r="KE7" i="5"/>
  <c r="KE8" i="5"/>
  <c r="KE9" i="5"/>
  <c r="KE10" i="5"/>
  <c r="KE11" i="5"/>
  <c r="KE12" i="5"/>
  <c r="KE13" i="5"/>
  <c r="KE14" i="5"/>
  <c r="KE15" i="5"/>
  <c r="KE16" i="5"/>
  <c r="KE17" i="5"/>
  <c r="KE18" i="5"/>
  <c r="KE19" i="5"/>
  <c r="KE20" i="5"/>
  <c r="KE21" i="5"/>
  <c r="KE22" i="5"/>
  <c r="KE23" i="5"/>
  <c r="KE24" i="5"/>
  <c r="KE25" i="5"/>
  <c r="KE26" i="5"/>
  <c r="KC6" i="5"/>
  <c r="KD6" i="5"/>
  <c r="KG6" i="5"/>
  <c r="LG7" i="5"/>
  <c r="LN7" i="5"/>
  <c r="KC7" i="5"/>
  <c r="KD7" i="5"/>
  <c r="KG7" i="5"/>
  <c r="LG8" i="5"/>
  <c r="LN8" i="5"/>
  <c r="KC8" i="5"/>
  <c r="KD8" i="5"/>
  <c r="KG8" i="5"/>
  <c r="LG9" i="5"/>
  <c r="LN9" i="5"/>
  <c r="KC9" i="5"/>
  <c r="KD9" i="5"/>
  <c r="KG9" i="5"/>
  <c r="LG10" i="5"/>
  <c r="LN10" i="5"/>
  <c r="KC10" i="5"/>
  <c r="KD10" i="5"/>
  <c r="KG10" i="5"/>
  <c r="LG11" i="5"/>
  <c r="LN11" i="5"/>
  <c r="KC11" i="5"/>
  <c r="KD11" i="5"/>
  <c r="KG11" i="5"/>
  <c r="LG12" i="5"/>
  <c r="LN12" i="5"/>
  <c r="KC12" i="5"/>
  <c r="KD12" i="5"/>
  <c r="KG12" i="5"/>
  <c r="LG13" i="5"/>
  <c r="LN13" i="5"/>
  <c r="KC13" i="5"/>
  <c r="KD13" i="5"/>
  <c r="KG13" i="5"/>
  <c r="LG14" i="5"/>
  <c r="LN14" i="5"/>
  <c r="KC14" i="5"/>
  <c r="KD14" i="5"/>
  <c r="KG14" i="5"/>
  <c r="LG15" i="5"/>
  <c r="LN15" i="5"/>
  <c r="KC15" i="5"/>
  <c r="KD15" i="5"/>
  <c r="KG15" i="5"/>
  <c r="LG16" i="5"/>
  <c r="LN16" i="5"/>
  <c r="KC16" i="5"/>
  <c r="KD16" i="5"/>
  <c r="KG16" i="5"/>
  <c r="LG17" i="5"/>
  <c r="LN17" i="5"/>
  <c r="KC17" i="5"/>
  <c r="KD17" i="5"/>
  <c r="KG17" i="5"/>
  <c r="LG18" i="5"/>
  <c r="LN18" i="5"/>
  <c r="KC18" i="5"/>
  <c r="KD18" i="5"/>
  <c r="KG18" i="5"/>
  <c r="LG19" i="5"/>
  <c r="LN19" i="5"/>
  <c r="KC19" i="5"/>
  <c r="KD19" i="5"/>
  <c r="KG19" i="5"/>
  <c r="LG20" i="5"/>
  <c r="LN20" i="5"/>
  <c r="KC20" i="5"/>
  <c r="KD20" i="5"/>
  <c r="KG20" i="5"/>
  <c r="LG21" i="5"/>
  <c r="LN21" i="5"/>
  <c r="KC21" i="5"/>
  <c r="KD21" i="5"/>
  <c r="KG21" i="5"/>
  <c r="LG22" i="5"/>
  <c r="LN22" i="5"/>
  <c r="KC22" i="5"/>
  <c r="KD22" i="5"/>
  <c r="KG22" i="5"/>
  <c r="LG23" i="5"/>
  <c r="LN23" i="5"/>
  <c r="KC23" i="5"/>
  <c r="KD23" i="5"/>
  <c r="KG23" i="5"/>
  <c r="LG24" i="5"/>
  <c r="LN24" i="5"/>
  <c r="KC24" i="5"/>
  <c r="KD24" i="5"/>
  <c r="KG24" i="5"/>
  <c r="LG25" i="5"/>
  <c r="LN25" i="5"/>
  <c r="KC25" i="5"/>
  <c r="KD25" i="5"/>
  <c r="KG25" i="5"/>
  <c r="LG26" i="5"/>
  <c r="LN26" i="5"/>
  <c r="LN27" i="5"/>
  <c r="N16" i="5"/>
  <c r="MZ16" i="5"/>
  <c r="NC16" i="5"/>
  <c r="LP7" i="5"/>
  <c r="LP8" i="5"/>
  <c r="LP9" i="5"/>
  <c r="LP10" i="5"/>
  <c r="LP11" i="5"/>
  <c r="LP12" i="5"/>
  <c r="LP13" i="5"/>
  <c r="LP14" i="5"/>
  <c r="LP15" i="5"/>
  <c r="LP16" i="5"/>
  <c r="LP17" i="5"/>
  <c r="LP18" i="5"/>
  <c r="LP19" i="5"/>
  <c r="LP20" i="5"/>
  <c r="LP21" i="5"/>
  <c r="LP22" i="5"/>
  <c r="LP23" i="5"/>
  <c r="LP24" i="5"/>
  <c r="LP25" i="5"/>
  <c r="LP26" i="5"/>
  <c r="LP27" i="5"/>
  <c r="N17" i="5"/>
  <c r="MZ17" i="5"/>
  <c r="NC17" i="5"/>
  <c r="N8" i="5"/>
  <c r="MZ8" i="5"/>
  <c r="NC8" i="5"/>
  <c r="IM6" i="5"/>
  <c r="IO6" i="5"/>
  <c r="KR6" i="5"/>
  <c r="JV6" i="5"/>
  <c r="LY7" i="5"/>
  <c r="IM7" i="5"/>
  <c r="IO7" i="5"/>
  <c r="KR7" i="5"/>
  <c r="JV7" i="5"/>
  <c r="LY8" i="5"/>
  <c r="IM8" i="5"/>
  <c r="IO8" i="5"/>
  <c r="KR8" i="5"/>
  <c r="JV8" i="5"/>
  <c r="LY9" i="5"/>
  <c r="IM9" i="5"/>
  <c r="IO9" i="5"/>
  <c r="KR9" i="5"/>
  <c r="JV9" i="5"/>
  <c r="LY10" i="5"/>
  <c r="IM10" i="5"/>
  <c r="IO10" i="5"/>
  <c r="KR10" i="5"/>
  <c r="JV10" i="5"/>
  <c r="LY11" i="5"/>
  <c r="IM11" i="5"/>
  <c r="IO11" i="5"/>
  <c r="KR11" i="5"/>
  <c r="JV11" i="5"/>
  <c r="LY12" i="5"/>
  <c r="IM12" i="5"/>
  <c r="IO12" i="5"/>
  <c r="KR12" i="5"/>
  <c r="JV12" i="5"/>
  <c r="LY13" i="5"/>
  <c r="IM13" i="5"/>
  <c r="IO13" i="5"/>
  <c r="KR13" i="5"/>
  <c r="JV13" i="5"/>
  <c r="LY14" i="5"/>
  <c r="IM14" i="5"/>
  <c r="IO14" i="5"/>
  <c r="KR14" i="5"/>
  <c r="JV14" i="5"/>
  <c r="LY15" i="5"/>
  <c r="IM15" i="5"/>
  <c r="IO15" i="5"/>
  <c r="KR15" i="5"/>
  <c r="JV15" i="5"/>
  <c r="LY16" i="5"/>
  <c r="IM16" i="5"/>
  <c r="IO16" i="5"/>
  <c r="KR16" i="5"/>
  <c r="JV16" i="5"/>
  <c r="LY17" i="5"/>
  <c r="IM17" i="5"/>
  <c r="IO17" i="5"/>
  <c r="KR17" i="5"/>
  <c r="JV17" i="5"/>
  <c r="LY18" i="5"/>
  <c r="IM18" i="5"/>
  <c r="IO18" i="5"/>
  <c r="KR18" i="5"/>
  <c r="JV18" i="5"/>
  <c r="LY19" i="5"/>
  <c r="IM19" i="5"/>
  <c r="IO19" i="5"/>
  <c r="KR19" i="5"/>
  <c r="JV19" i="5"/>
  <c r="LY20" i="5"/>
  <c r="IM20" i="5"/>
  <c r="IO20" i="5"/>
  <c r="KR20" i="5"/>
  <c r="JV20" i="5"/>
  <c r="LY21" i="5"/>
  <c r="IM21" i="5"/>
  <c r="IO21" i="5"/>
  <c r="KR21" i="5"/>
  <c r="JV21" i="5"/>
  <c r="LY22" i="5"/>
  <c r="IM22" i="5"/>
  <c r="IO22" i="5"/>
  <c r="KR22" i="5"/>
  <c r="JV22" i="5"/>
  <c r="LY23" i="5"/>
  <c r="IM23" i="5"/>
  <c r="IO23" i="5"/>
  <c r="KR23" i="5"/>
  <c r="JV23" i="5"/>
  <c r="LY24" i="5"/>
  <c r="IM24" i="5"/>
  <c r="IO24" i="5"/>
  <c r="KR24" i="5"/>
  <c r="JV24" i="5"/>
  <c r="LY25" i="5"/>
  <c r="IM25" i="5"/>
  <c r="IO25" i="5"/>
  <c r="KR25" i="5"/>
  <c r="JV25" i="5"/>
  <c r="LY26" i="5"/>
  <c r="NC26" i="5"/>
  <c r="NC27" i="5"/>
  <c r="MZ29" i="5"/>
  <c r="CT6" i="5"/>
  <c r="CT7" i="5"/>
  <c r="CT8" i="5"/>
  <c r="CT9" i="5"/>
  <c r="H14" i="5"/>
  <c r="DD9" i="5"/>
  <c r="H15" i="5"/>
  <c r="DM9" i="5"/>
  <c r="H16" i="5"/>
  <c r="DZ12" i="5"/>
  <c r="H17" i="5"/>
  <c r="EM6" i="5"/>
  <c r="EM7" i="5"/>
  <c r="EM8" i="5"/>
  <c r="EM9" i="5"/>
  <c r="H18" i="5"/>
  <c r="FC9" i="5"/>
  <c r="H19" i="5"/>
  <c r="H20" i="5"/>
  <c r="H21" i="5"/>
  <c r="JE26" i="5"/>
  <c r="JG26" i="5"/>
  <c r="JI26" i="5"/>
  <c r="JK26" i="5"/>
  <c r="JM26" i="5"/>
  <c r="JQ26" i="5"/>
  <c r="JS26" i="5"/>
  <c r="JO26" i="5"/>
  <c r="JU26" i="5"/>
  <c r="NC11" i="5"/>
  <c r="N9" i="5"/>
  <c r="N11" i="5"/>
  <c r="FG8" i="5"/>
  <c r="FG9" i="5"/>
  <c r="FG10" i="5"/>
  <c r="FG11" i="5"/>
  <c r="FG12" i="5"/>
  <c r="FG13" i="5"/>
  <c r="FG14" i="5"/>
  <c r="FG15" i="5"/>
  <c r="FG16" i="5"/>
  <c r="FG17" i="5"/>
  <c r="FG18" i="5"/>
  <c r="FG19" i="5"/>
  <c r="FG20" i="5"/>
  <c r="FG21" i="5"/>
  <c r="FG22" i="5"/>
  <c r="FG23" i="5"/>
  <c r="FG24" i="5"/>
  <c r="FG25" i="5"/>
  <c r="FG26" i="5"/>
  <c r="FG27" i="5"/>
  <c r="FG28" i="5"/>
  <c r="FG29" i="5"/>
  <c r="FG30" i="5"/>
  <c r="FG31" i="5"/>
  <c r="FG32" i="5"/>
  <c r="FG33" i="5"/>
  <c r="FG34" i="5"/>
  <c r="FG35" i="5"/>
  <c r="FG36" i="5"/>
  <c r="KD26" i="5"/>
  <c r="MZ35" i="5"/>
  <c r="NK35" i="5"/>
  <c r="NL35" i="5"/>
  <c r="NM35" i="5"/>
  <c r="NI35" i="5"/>
  <c r="NH8" i="5"/>
  <c r="NH9" i="5"/>
  <c r="NH10" i="5"/>
  <c r="NH11" i="5"/>
  <c r="NH12" i="5"/>
  <c r="NH13" i="5"/>
  <c r="NH14" i="5"/>
  <c r="NH15" i="5"/>
  <c r="NH16" i="5"/>
  <c r="NH17" i="5"/>
  <c r="NH18" i="5"/>
  <c r="NH19" i="5"/>
  <c r="NH20" i="5"/>
  <c r="NH21" i="5"/>
  <c r="NH22" i="5"/>
  <c r="NH23" i="5"/>
  <c r="NH24" i="5"/>
  <c r="NH25" i="5"/>
  <c r="NH26" i="5"/>
  <c r="NH27" i="5"/>
  <c r="NH28" i="5"/>
  <c r="NH29" i="5"/>
  <c r="NH30" i="5"/>
  <c r="NH31" i="5"/>
  <c r="NH32" i="5"/>
  <c r="NH34" i="5"/>
  <c r="NH35" i="5"/>
  <c r="ND35" i="5"/>
  <c r="MX8" i="5"/>
  <c r="MX9" i="5"/>
  <c r="MX10" i="5"/>
  <c r="MX11" i="5"/>
  <c r="MX12" i="5"/>
  <c r="MX13" i="5"/>
  <c r="MX14" i="5"/>
  <c r="MX15" i="5"/>
  <c r="MX16" i="5"/>
  <c r="MX17" i="5"/>
  <c r="MX18" i="5"/>
  <c r="MX19" i="5"/>
  <c r="MX20" i="5"/>
  <c r="MX21" i="5"/>
  <c r="MX22" i="5"/>
  <c r="MX23" i="5"/>
  <c r="MX24" i="5"/>
  <c r="MX25" i="5"/>
  <c r="MX26" i="5"/>
  <c r="MX27" i="5"/>
  <c r="MX28" i="5"/>
  <c r="MX29" i="5"/>
  <c r="MX30" i="5"/>
  <c r="MX31" i="5"/>
  <c r="MX32" i="5"/>
  <c r="MX34" i="5"/>
  <c r="MX35" i="5"/>
  <c r="FM35" i="5"/>
  <c r="NI34" i="5"/>
  <c r="JV26" i="5"/>
  <c r="FM34" i="5"/>
  <c r="FM33" i="5"/>
  <c r="MZ9" i="5"/>
  <c r="NI32" i="5"/>
  <c r="NC29" i="5"/>
  <c r="F20" i="5"/>
  <c r="NK31" i="5"/>
  <c r="NL31" i="5"/>
  <c r="NM31" i="5"/>
  <c r="NI31" i="5"/>
  <c r="KR26" i="5"/>
  <c r="KV6" i="5"/>
  <c r="KV7" i="5"/>
  <c r="KV8" i="5"/>
  <c r="KV9" i="5"/>
  <c r="KV10" i="5"/>
  <c r="KV11" i="5"/>
  <c r="KV12" i="5"/>
  <c r="KV13" i="5"/>
  <c r="KV14" i="5"/>
  <c r="KV15" i="5"/>
  <c r="KV16" i="5"/>
  <c r="KV17" i="5"/>
  <c r="KV18" i="5"/>
  <c r="KV19" i="5"/>
  <c r="KV20" i="5"/>
  <c r="KV21" i="5"/>
  <c r="KV22" i="5"/>
  <c r="KV23" i="5"/>
  <c r="KV24" i="5"/>
  <c r="KV25" i="5"/>
  <c r="KV26" i="5"/>
  <c r="KX6" i="5"/>
  <c r="KX7" i="5"/>
  <c r="KX8" i="5"/>
  <c r="KX9" i="5"/>
  <c r="KX10" i="5"/>
  <c r="KX11" i="5"/>
  <c r="KX12" i="5"/>
  <c r="KX13" i="5"/>
  <c r="KX14" i="5"/>
  <c r="KX15" i="5"/>
  <c r="KX16" i="5"/>
  <c r="KX17" i="5"/>
  <c r="KX18" i="5"/>
  <c r="KX19" i="5"/>
  <c r="KX20" i="5"/>
  <c r="KX21" i="5"/>
  <c r="KX22" i="5"/>
  <c r="KX23" i="5"/>
  <c r="KX24" i="5"/>
  <c r="KX25" i="5"/>
  <c r="KX26" i="5"/>
  <c r="KZ26" i="5"/>
  <c r="IQ26" i="5"/>
  <c r="KT26" i="5"/>
  <c r="IO26" i="5"/>
  <c r="IS26" i="5"/>
  <c r="IU26" i="5"/>
  <c r="IW26" i="5"/>
  <c r="IN26" i="5"/>
  <c r="IR26" i="5"/>
  <c r="IT26" i="5"/>
  <c r="IV26" i="5"/>
  <c r="IP26" i="5"/>
  <c r="FM31" i="5"/>
  <c r="IB26" i="5"/>
  <c r="KW6" i="5"/>
  <c r="KY6" i="5"/>
  <c r="KW7" i="5"/>
  <c r="KY7" i="5"/>
  <c r="KW8" i="5"/>
  <c r="KY8" i="5"/>
  <c r="KW9" i="5"/>
  <c r="KY9" i="5"/>
  <c r="KW10" i="5"/>
  <c r="KY10" i="5"/>
  <c r="KW11" i="5"/>
  <c r="KY11" i="5"/>
  <c r="KW12" i="5"/>
  <c r="KY12" i="5"/>
  <c r="KW13" i="5"/>
  <c r="KY13" i="5"/>
  <c r="KW14" i="5"/>
  <c r="KY14" i="5"/>
  <c r="KW15" i="5"/>
  <c r="KY15" i="5"/>
  <c r="KW16" i="5"/>
  <c r="KY16" i="5"/>
  <c r="KW17" i="5"/>
  <c r="KY17" i="5"/>
  <c r="KW18" i="5"/>
  <c r="KY18" i="5"/>
  <c r="KW19" i="5"/>
  <c r="KY19" i="5"/>
  <c r="KW20" i="5"/>
  <c r="KY20" i="5"/>
  <c r="KW21" i="5"/>
  <c r="KY21" i="5"/>
  <c r="KW22" i="5"/>
  <c r="KY22" i="5"/>
  <c r="KW23" i="5"/>
  <c r="KY23" i="5"/>
  <c r="KW24" i="5"/>
  <c r="KY24" i="5"/>
  <c r="KW25" i="5"/>
  <c r="KY25" i="5"/>
  <c r="IW6" i="5"/>
  <c r="MG6" i="5"/>
  <c r="IW7" i="5"/>
  <c r="MG7" i="5"/>
  <c r="IW8" i="5"/>
  <c r="MG8" i="5"/>
  <c r="IW9" i="5"/>
  <c r="MG9" i="5"/>
  <c r="IW10" i="5"/>
  <c r="MG10" i="5"/>
  <c r="IW11" i="5"/>
  <c r="MG11" i="5"/>
  <c r="IW12" i="5"/>
  <c r="MG12" i="5"/>
  <c r="IW13" i="5"/>
  <c r="MG13" i="5"/>
  <c r="IW14" i="5"/>
  <c r="MG14" i="5"/>
  <c r="IW15" i="5"/>
  <c r="MG15" i="5"/>
  <c r="IW16" i="5"/>
  <c r="MG16" i="5"/>
  <c r="IW17" i="5"/>
  <c r="MG17" i="5"/>
  <c r="IW18" i="5"/>
  <c r="MG18" i="5"/>
  <c r="IW19" i="5"/>
  <c r="MG19" i="5"/>
  <c r="IW20" i="5"/>
  <c r="MG20" i="5"/>
  <c r="IW21" i="5"/>
  <c r="MG21" i="5"/>
  <c r="IW22" i="5"/>
  <c r="MG22" i="5"/>
  <c r="IW23" i="5"/>
  <c r="MG23" i="5"/>
  <c r="IW24" i="5"/>
  <c r="MG24" i="5"/>
  <c r="IW25" i="5"/>
  <c r="MG25" i="5"/>
  <c r="MG26" i="5"/>
  <c r="MJ6" i="5"/>
  <c r="MJ7" i="5"/>
  <c r="MJ8" i="5"/>
  <c r="MJ9" i="5"/>
  <c r="MJ10" i="5"/>
  <c r="MJ11" i="5"/>
  <c r="MJ12" i="5"/>
  <c r="MJ13" i="5"/>
  <c r="MJ14" i="5"/>
  <c r="MJ15" i="5"/>
  <c r="MJ16" i="5"/>
  <c r="MJ17" i="5"/>
  <c r="MJ18" i="5"/>
  <c r="MJ19" i="5"/>
  <c r="MJ20" i="5"/>
  <c r="MJ21" i="5"/>
  <c r="MJ22" i="5"/>
  <c r="MJ23" i="5"/>
  <c r="MJ24" i="5"/>
  <c r="MJ25" i="5"/>
  <c r="MJ26" i="5"/>
  <c r="MM26" i="5"/>
  <c r="IV6" i="5"/>
  <c r="MF6" i="5"/>
  <c r="IV7" i="5"/>
  <c r="MF7" i="5"/>
  <c r="IV8" i="5"/>
  <c r="MF8" i="5"/>
  <c r="IV9" i="5"/>
  <c r="MF9" i="5"/>
  <c r="IV10" i="5"/>
  <c r="MF10" i="5"/>
  <c r="IV11" i="5"/>
  <c r="MF11" i="5"/>
  <c r="IV12" i="5"/>
  <c r="MF12" i="5"/>
  <c r="IV13" i="5"/>
  <c r="MF13" i="5"/>
  <c r="IV14" i="5"/>
  <c r="MF14" i="5"/>
  <c r="IV15" i="5"/>
  <c r="MF15" i="5"/>
  <c r="IV16" i="5"/>
  <c r="MF16" i="5"/>
  <c r="IV17" i="5"/>
  <c r="MF17" i="5"/>
  <c r="IV18" i="5"/>
  <c r="MF18" i="5"/>
  <c r="IV19" i="5"/>
  <c r="MF19" i="5"/>
  <c r="IV20" i="5"/>
  <c r="MF20" i="5"/>
  <c r="IV21" i="5"/>
  <c r="MF21" i="5"/>
  <c r="IV22" i="5"/>
  <c r="MF22" i="5"/>
  <c r="IV23" i="5"/>
  <c r="MF23" i="5"/>
  <c r="IV24" i="5"/>
  <c r="MF24" i="5"/>
  <c r="IV25" i="5"/>
  <c r="MF25" i="5"/>
  <c r="MF26" i="5"/>
  <c r="JU6" i="5"/>
  <c r="MI6" i="5"/>
  <c r="JU7" i="5"/>
  <c r="MI7" i="5"/>
  <c r="JU8" i="5"/>
  <c r="MI8" i="5"/>
  <c r="JU9" i="5"/>
  <c r="MI9" i="5"/>
  <c r="JU10" i="5"/>
  <c r="MI10" i="5"/>
  <c r="JU11" i="5"/>
  <c r="MI11" i="5"/>
  <c r="JU12" i="5"/>
  <c r="MI12" i="5"/>
  <c r="JU13" i="5"/>
  <c r="MI13" i="5"/>
  <c r="JU14" i="5"/>
  <c r="MI14" i="5"/>
  <c r="JU15" i="5"/>
  <c r="MI15" i="5"/>
  <c r="JU16" i="5"/>
  <c r="MI16" i="5"/>
  <c r="JU17" i="5"/>
  <c r="MI17" i="5"/>
  <c r="JU18" i="5"/>
  <c r="MI18" i="5"/>
  <c r="JU19" i="5"/>
  <c r="MI19" i="5"/>
  <c r="JU20" i="5"/>
  <c r="MI20" i="5"/>
  <c r="JU21" i="5"/>
  <c r="MI21" i="5"/>
  <c r="JU22" i="5"/>
  <c r="MI22" i="5"/>
  <c r="JU23" i="5"/>
  <c r="MI23" i="5"/>
  <c r="JU24" i="5"/>
  <c r="MI24" i="5"/>
  <c r="JU25" i="5"/>
  <c r="MI25" i="5"/>
  <c r="MI26" i="5"/>
  <c r="ML26" i="5"/>
  <c r="FM30" i="5"/>
  <c r="NK29" i="5"/>
  <c r="NL29" i="5"/>
  <c r="NM29" i="5"/>
  <c r="NB29" i="5"/>
  <c r="FM29" i="5"/>
  <c r="NK26" i="5"/>
  <c r="LY28" i="5"/>
  <c r="LW28" i="5"/>
  <c r="LU28" i="5"/>
  <c r="LS28" i="5"/>
  <c r="LQ28" i="5"/>
  <c r="LP28" i="5"/>
  <c r="LM28" i="5"/>
  <c r="LN28" i="5"/>
  <c r="LK28" i="5"/>
  <c r="LI28" i="5"/>
  <c r="LE7" i="5"/>
  <c r="LE8" i="5"/>
  <c r="LE9" i="5"/>
  <c r="LE10" i="5"/>
  <c r="LE11" i="5"/>
  <c r="LE12" i="5"/>
  <c r="LE13" i="5"/>
  <c r="LE14" i="5"/>
  <c r="LE15" i="5"/>
  <c r="LE16" i="5"/>
  <c r="LE17" i="5"/>
  <c r="LE18" i="5"/>
  <c r="LE19" i="5"/>
  <c r="LE20" i="5"/>
  <c r="LE21" i="5"/>
  <c r="LE22" i="5"/>
  <c r="LE23" i="5"/>
  <c r="LE24" i="5"/>
  <c r="LE25" i="5"/>
  <c r="LE26" i="5"/>
  <c r="LE27" i="5"/>
  <c r="LE28" i="5"/>
  <c r="FM28" i="5"/>
  <c r="K9" i="5"/>
  <c r="K10" i="5"/>
  <c r="K12" i="5"/>
  <c r="K22" i="5"/>
  <c r="HR7" i="5"/>
  <c r="HE6" i="5"/>
  <c r="HE8" i="5"/>
  <c r="HE9" i="5"/>
  <c r="HE10" i="5"/>
  <c r="HE11" i="5"/>
  <c r="GB14" i="5"/>
  <c r="HB12" i="5"/>
  <c r="GC14" i="5"/>
  <c r="HC12" i="5"/>
  <c r="GD14" i="5"/>
  <c r="HD12" i="5"/>
  <c r="HE12" i="5"/>
  <c r="GR6" i="5"/>
  <c r="GR7" i="5"/>
  <c r="GR8" i="5"/>
  <c r="GR9" i="5"/>
  <c r="GR10" i="5"/>
  <c r="GR11" i="5"/>
  <c r="GR12" i="5"/>
  <c r="HE13" i="5"/>
  <c r="HE14" i="5"/>
  <c r="H10" i="5"/>
  <c r="H7" i="5"/>
  <c r="HR8" i="5"/>
  <c r="H8" i="5"/>
  <c r="H9" i="5"/>
  <c r="H12" i="5"/>
  <c r="H22" i="5"/>
  <c r="AA10" i="5"/>
  <c r="HN7" i="5"/>
  <c r="HA6" i="5"/>
  <c r="HA7" i="5"/>
  <c r="HA8" i="5"/>
  <c r="HA9" i="5"/>
  <c r="HA10" i="5"/>
  <c r="HA11" i="5"/>
  <c r="FX14" i="5"/>
  <c r="GX12" i="5"/>
  <c r="FY14" i="5"/>
  <c r="GY12" i="5"/>
  <c r="FZ14" i="5"/>
  <c r="GZ12" i="5"/>
  <c r="HA12" i="5"/>
  <c r="GK12" i="5"/>
  <c r="GX13" i="5"/>
  <c r="GL12" i="5"/>
  <c r="GY13" i="5"/>
  <c r="GM12" i="5"/>
  <c r="GZ13" i="5"/>
  <c r="HA13" i="5"/>
  <c r="HA14" i="5"/>
  <c r="GE6" i="5"/>
  <c r="GE7" i="5"/>
  <c r="GE8" i="5"/>
  <c r="GE9" i="5"/>
  <c r="GE10" i="5"/>
  <c r="GE11" i="5"/>
  <c r="GE12" i="5"/>
  <c r="GE13" i="5"/>
  <c r="GE14" i="5"/>
  <c r="F10" i="5"/>
  <c r="F7" i="5"/>
  <c r="HN8" i="5"/>
  <c r="F8" i="5"/>
  <c r="F9" i="5"/>
  <c r="F12" i="5"/>
  <c r="CP6" i="5"/>
  <c r="CP7" i="5"/>
  <c r="CP8" i="5"/>
  <c r="CP9" i="5"/>
  <c r="F14" i="5"/>
  <c r="DA9" i="5"/>
  <c r="F15" i="5"/>
  <c r="DK9" i="5"/>
  <c r="F16" i="5"/>
  <c r="DV12" i="5"/>
  <c r="F17" i="5"/>
  <c r="EI6" i="5"/>
  <c r="EI7" i="5"/>
  <c r="EI8" i="5"/>
  <c r="EI9" i="5"/>
  <c r="F18" i="5"/>
  <c r="EV6" i="5"/>
  <c r="EV7" i="5"/>
  <c r="EV8" i="5"/>
  <c r="EV9" i="5"/>
  <c r="F19" i="5"/>
  <c r="F21" i="5"/>
  <c r="F22" i="5"/>
  <c r="AA7" i="5"/>
  <c r="NL27" i="5"/>
  <c r="NM27" i="5"/>
  <c r="KC26" i="5"/>
  <c r="KG26" i="5"/>
  <c r="LG27" i="5"/>
  <c r="KY27" i="5"/>
  <c r="KW27" i="5"/>
  <c r="KU27" i="5"/>
  <c r="JV27" i="5"/>
  <c r="JT27" i="5"/>
  <c r="JR27" i="5"/>
  <c r="JP27" i="5"/>
  <c r="JN27" i="5"/>
  <c r="JL27" i="5"/>
  <c r="JJ27" i="5"/>
  <c r="JH27" i="5"/>
  <c r="JF27" i="5"/>
  <c r="IW27" i="5"/>
  <c r="IU27" i="5"/>
  <c r="IS27" i="5"/>
  <c r="IQ27" i="5"/>
  <c r="IO27" i="5"/>
  <c r="FM27" i="5"/>
  <c r="NL26" i="5"/>
  <c r="NM26" i="5"/>
  <c r="KP26" i="5"/>
  <c r="JW26" i="5"/>
  <c r="IA26" i="5"/>
  <c r="ID26" i="5"/>
  <c r="JD26" i="5"/>
  <c r="HZ26" i="5"/>
  <c r="HY26" i="5"/>
  <c r="IC26" i="5"/>
  <c r="JC26" i="5"/>
  <c r="IM26" i="5"/>
  <c r="FM26" i="5"/>
  <c r="NI25" i="5"/>
  <c r="MM25" i="5"/>
  <c r="ML25" i="5"/>
  <c r="KZ25" i="5"/>
  <c r="KU25" i="5"/>
  <c r="KT25" i="5"/>
  <c r="KP25" i="5"/>
  <c r="JW25" i="5"/>
  <c r="N25" i="5"/>
  <c r="F25" i="5"/>
  <c r="R25" i="5"/>
  <c r="Q25" i="5"/>
  <c r="K25" i="5"/>
  <c r="H25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4" i="5"/>
  <c r="B25" i="5"/>
  <c r="NI24" i="5"/>
  <c r="MM24" i="5"/>
  <c r="ML24" i="5"/>
  <c r="KZ24" i="5"/>
  <c r="KU24" i="5"/>
  <c r="KT24" i="5"/>
  <c r="KP24" i="5"/>
  <c r="JW24" i="5"/>
  <c r="FM24" i="5"/>
  <c r="HN6" i="5"/>
  <c r="F24" i="5"/>
  <c r="K24" i="5"/>
  <c r="HR6" i="5"/>
  <c r="H24" i="5"/>
  <c r="NK23" i="5"/>
  <c r="NL23" i="5"/>
  <c r="NM23" i="5"/>
  <c r="NI23" i="5"/>
  <c r="MM23" i="5"/>
  <c r="ML23" i="5"/>
  <c r="KZ23" i="5"/>
  <c r="KU23" i="5"/>
  <c r="KT23" i="5"/>
  <c r="KP23" i="5"/>
  <c r="JW23" i="5"/>
  <c r="FM23" i="5"/>
  <c r="CC23" i="5"/>
  <c r="CF23" i="5"/>
  <c r="CG23" i="5"/>
  <c r="Z8" i="5"/>
  <c r="Y8" i="5"/>
  <c r="MM22" i="5"/>
  <c r="ML22" i="5"/>
  <c r="KZ22" i="5"/>
  <c r="KU22" i="5"/>
  <c r="KT22" i="5"/>
  <c r="KP22" i="5"/>
  <c r="JW22" i="5"/>
  <c r="FM22" i="5"/>
  <c r="CC22" i="5"/>
  <c r="CF22" i="5"/>
  <c r="CG22" i="5"/>
  <c r="G22" i="5"/>
  <c r="M22" i="5"/>
  <c r="L22" i="5"/>
  <c r="J22" i="5"/>
  <c r="I22" i="5"/>
  <c r="NI21" i="5"/>
  <c r="MM21" i="5"/>
  <c r="ML21" i="5"/>
  <c r="KZ21" i="5"/>
  <c r="KU21" i="5"/>
  <c r="KT21" i="5"/>
  <c r="KP21" i="5"/>
  <c r="JW21" i="5"/>
  <c r="DL9" i="5"/>
  <c r="AJ11" i="5"/>
  <c r="AJ15" i="5"/>
  <c r="AJ19" i="5"/>
  <c r="AJ21" i="5"/>
  <c r="DB9" i="5"/>
  <c r="AI11" i="5"/>
  <c r="AI15" i="5"/>
  <c r="CQ9" i="5"/>
  <c r="AH11" i="5"/>
  <c r="AH15" i="5"/>
  <c r="AF8" i="5"/>
  <c r="AF9" i="5"/>
  <c r="AF10" i="5"/>
  <c r="AF11" i="5"/>
  <c r="AF12" i="5"/>
  <c r="AF13" i="5"/>
  <c r="AF14" i="5"/>
  <c r="AF15" i="5"/>
  <c r="AF16" i="5"/>
  <c r="AF17" i="5"/>
  <c r="AF18" i="5"/>
  <c r="AF19" i="5"/>
  <c r="AF20" i="5"/>
  <c r="AF21" i="5"/>
  <c r="G21" i="5"/>
  <c r="M21" i="5"/>
  <c r="L21" i="5"/>
  <c r="J21" i="5"/>
  <c r="I21" i="5"/>
  <c r="NI20" i="5"/>
  <c r="MM20" i="5"/>
  <c r="ML20" i="5"/>
  <c r="KZ20" i="5"/>
  <c r="KU20" i="5"/>
  <c r="KT20" i="5"/>
  <c r="KP20" i="5"/>
  <c r="JW20" i="5"/>
  <c r="FM20" i="5"/>
  <c r="CC20" i="5"/>
  <c r="CF20" i="5"/>
  <c r="CG20" i="5"/>
  <c r="CD20" i="5"/>
  <c r="CE20" i="5"/>
  <c r="CB20" i="5"/>
  <c r="BY20" i="5"/>
  <c r="BV20" i="5"/>
  <c r="BR20" i="5"/>
  <c r="BN20" i="5"/>
  <c r="BJ20" i="5"/>
  <c r="BF20" i="5"/>
  <c r="BB20" i="5"/>
  <c r="AX20" i="5"/>
  <c r="AN16" i="5"/>
  <c r="AN17" i="5"/>
  <c r="AN18" i="5"/>
  <c r="AN19" i="5"/>
  <c r="AN20" i="5"/>
  <c r="MM6" i="5"/>
  <c r="MM7" i="5"/>
  <c r="MM8" i="5"/>
  <c r="MM9" i="5"/>
  <c r="MM10" i="5"/>
  <c r="MM11" i="5"/>
  <c r="MM12" i="5"/>
  <c r="MM13" i="5"/>
  <c r="MM14" i="5"/>
  <c r="MM15" i="5"/>
  <c r="MM16" i="5"/>
  <c r="MM17" i="5"/>
  <c r="MM18" i="5"/>
  <c r="MM19" i="5"/>
  <c r="Z14" i="5"/>
  <c r="Y14" i="5"/>
  <c r="V7" i="5"/>
  <c r="V8" i="5"/>
  <c r="V10" i="5"/>
  <c r="V11" i="5"/>
  <c r="V12" i="5"/>
  <c r="V14" i="5"/>
  <c r="V15" i="5"/>
  <c r="V16" i="5"/>
  <c r="V18" i="5"/>
  <c r="V19" i="5"/>
  <c r="V20" i="5"/>
  <c r="G20" i="5"/>
  <c r="M20" i="5"/>
  <c r="L20" i="5"/>
  <c r="J20" i="5"/>
  <c r="I20" i="5"/>
  <c r="NI19" i="5"/>
  <c r="ML19" i="5"/>
  <c r="KZ19" i="5"/>
  <c r="KU19" i="5"/>
  <c r="KT19" i="5"/>
  <c r="KP19" i="5"/>
  <c r="JW19" i="5"/>
  <c r="FM19" i="5"/>
  <c r="CC19" i="5"/>
  <c r="CF19" i="5"/>
  <c r="CG19" i="5"/>
  <c r="CD19" i="5"/>
  <c r="CE19" i="5"/>
  <c r="CB19" i="5"/>
  <c r="BY19" i="5"/>
  <c r="BV19" i="5"/>
  <c r="BR19" i="5"/>
  <c r="BN19" i="5"/>
  <c r="BJ19" i="5"/>
  <c r="BF19" i="5"/>
  <c r="BB19" i="5"/>
  <c r="AX19" i="5"/>
  <c r="G19" i="5"/>
  <c r="M19" i="5"/>
  <c r="L19" i="5"/>
  <c r="J19" i="5"/>
  <c r="I19" i="5"/>
  <c r="NI18" i="5"/>
  <c r="ML18" i="5"/>
  <c r="KZ18" i="5"/>
  <c r="KU18" i="5"/>
  <c r="KT18" i="5"/>
  <c r="KP18" i="5"/>
  <c r="JW18" i="5"/>
  <c r="GQ12" i="5"/>
  <c r="HD13" i="5"/>
  <c r="HD14" i="5"/>
  <c r="GP12" i="5"/>
  <c r="HC13" i="5"/>
  <c r="HC14" i="5"/>
  <c r="GO12" i="5"/>
  <c r="HB13" i="5"/>
  <c r="HB14" i="5"/>
  <c r="GZ14" i="5"/>
  <c r="GY14" i="5"/>
  <c r="GX14" i="5"/>
  <c r="FM18" i="5"/>
  <c r="CC18" i="5"/>
  <c r="CF18" i="5"/>
  <c r="CG18" i="5"/>
  <c r="CD18" i="5"/>
  <c r="CE18" i="5"/>
  <c r="CB18" i="5"/>
  <c r="BY18" i="5"/>
  <c r="BV18" i="5"/>
  <c r="BR18" i="5"/>
  <c r="BN18" i="5"/>
  <c r="BJ18" i="5"/>
  <c r="BF18" i="5"/>
  <c r="BB18" i="5"/>
  <c r="AX18" i="5"/>
  <c r="G18" i="5"/>
  <c r="M18" i="5"/>
  <c r="L18" i="5"/>
  <c r="J18" i="5"/>
  <c r="I18" i="5"/>
  <c r="NK17" i="5"/>
  <c r="NL17" i="5"/>
  <c r="NM17" i="5"/>
  <c r="NI17" i="5"/>
  <c r="ML17" i="5"/>
  <c r="KZ17" i="5"/>
  <c r="KU17" i="5"/>
  <c r="KT17" i="5"/>
  <c r="KP17" i="5"/>
  <c r="JW17" i="5"/>
  <c r="FM17" i="5"/>
  <c r="CC17" i="5"/>
  <c r="CF17" i="5"/>
  <c r="CG17" i="5"/>
  <c r="CD17" i="5"/>
  <c r="CE17" i="5"/>
  <c r="CB17" i="5"/>
  <c r="BY17" i="5"/>
  <c r="BV17" i="5"/>
  <c r="BR17" i="5"/>
  <c r="BN17" i="5"/>
  <c r="BJ17" i="5"/>
  <c r="BF17" i="5"/>
  <c r="BB17" i="5"/>
  <c r="AX17" i="5"/>
  <c r="AJ17" i="5"/>
  <c r="AI17" i="5"/>
  <c r="AH17" i="5"/>
  <c r="G17" i="5"/>
  <c r="Q17" i="5"/>
  <c r="P17" i="5"/>
  <c r="M17" i="5"/>
  <c r="L17" i="5"/>
  <c r="J17" i="5"/>
  <c r="I17" i="5"/>
  <c r="NK16" i="5"/>
  <c r="NL16" i="5"/>
  <c r="NM16" i="5"/>
  <c r="NI16" i="5"/>
  <c r="ML16" i="5"/>
  <c r="KZ16" i="5"/>
  <c r="KU16" i="5"/>
  <c r="KT16" i="5"/>
  <c r="KP16" i="5"/>
  <c r="JW16" i="5"/>
  <c r="FM16" i="5"/>
  <c r="DY12" i="5"/>
  <c r="DX12" i="5"/>
  <c r="DW12" i="5"/>
  <c r="DU12" i="5"/>
  <c r="DT12" i="5"/>
  <c r="DS12" i="5"/>
  <c r="DJ9" i="5"/>
  <c r="CC16" i="5"/>
  <c r="CF16" i="5"/>
  <c r="CG16" i="5"/>
  <c r="CD16" i="5"/>
  <c r="CE16" i="5"/>
  <c r="CB16" i="5"/>
  <c r="BY16" i="5"/>
  <c r="BV16" i="5"/>
  <c r="BR16" i="5"/>
  <c r="BN16" i="5"/>
  <c r="BJ16" i="5"/>
  <c r="BF16" i="5"/>
  <c r="BB16" i="5"/>
  <c r="AX16" i="5"/>
  <c r="AJ16" i="5"/>
  <c r="AI16" i="5"/>
  <c r="AH16" i="5"/>
  <c r="Z16" i="5"/>
  <c r="Y16" i="5"/>
  <c r="G16" i="5"/>
  <c r="Q16" i="5"/>
  <c r="P16" i="5"/>
  <c r="M16" i="5"/>
  <c r="L16" i="5"/>
  <c r="J16" i="5"/>
  <c r="I16" i="5"/>
  <c r="NI15" i="5"/>
  <c r="ML15" i="5"/>
  <c r="KZ15" i="5"/>
  <c r="KU15" i="5"/>
  <c r="KT15" i="5"/>
  <c r="KP15" i="5"/>
  <c r="JW15" i="5"/>
  <c r="HO9" i="5"/>
  <c r="HP9" i="5"/>
  <c r="HQ9" i="5"/>
  <c r="HR9" i="5"/>
  <c r="HK9" i="5"/>
  <c r="HL9" i="5"/>
  <c r="HM9" i="5"/>
  <c r="HN9" i="5"/>
  <c r="FM15" i="5"/>
  <c r="CC15" i="5"/>
  <c r="CF15" i="5"/>
  <c r="CG15" i="5"/>
  <c r="CD15" i="5"/>
  <c r="CE15" i="5"/>
  <c r="CB15" i="5"/>
  <c r="BY15" i="5"/>
  <c r="BV15" i="5"/>
  <c r="BR15" i="5"/>
  <c r="BN15" i="5"/>
  <c r="BJ15" i="5"/>
  <c r="BF15" i="5"/>
  <c r="BB15" i="5"/>
  <c r="AX15" i="5"/>
  <c r="Z15" i="5"/>
  <c r="Y15" i="5"/>
  <c r="G15" i="5"/>
  <c r="M15" i="5"/>
  <c r="L15" i="5"/>
  <c r="J15" i="5"/>
  <c r="I15" i="5"/>
  <c r="NI14" i="5"/>
  <c r="ML14" i="5"/>
  <c r="KZ14" i="5"/>
  <c r="KU14" i="5"/>
  <c r="KT14" i="5"/>
  <c r="KP14" i="5"/>
  <c r="JW14" i="5"/>
  <c r="GA14" i="5"/>
  <c r="FM14" i="5"/>
  <c r="CC14" i="5"/>
  <c r="CF14" i="5"/>
  <c r="CG14" i="5"/>
  <c r="CD14" i="5"/>
  <c r="CE14" i="5"/>
  <c r="CB14" i="5"/>
  <c r="BY14" i="5"/>
  <c r="BV14" i="5"/>
  <c r="BR14" i="5"/>
  <c r="BN14" i="5"/>
  <c r="BJ14" i="5"/>
  <c r="BF14" i="5"/>
  <c r="BB14" i="5"/>
  <c r="AX14" i="5"/>
  <c r="G14" i="5"/>
  <c r="M14" i="5"/>
  <c r="L14" i="5"/>
  <c r="J14" i="5"/>
  <c r="I14" i="5"/>
  <c r="NI13" i="5"/>
  <c r="MT9" i="5"/>
  <c r="MT12" i="5"/>
  <c r="MT13" i="5"/>
  <c r="MR7" i="5"/>
  <c r="MR8" i="5"/>
  <c r="MR9" i="5"/>
  <c r="MR10" i="5"/>
  <c r="MR11" i="5"/>
  <c r="MR12" i="5"/>
  <c r="MR13" i="5"/>
  <c r="ML13" i="5"/>
  <c r="KZ13" i="5"/>
  <c r="KU13" i="5"/>
  <c r="KT13" i="5"/>
  <c r="KP13" i="5"/>
  <c r="JW13" i="5"/>
  <c r="FM13" i="5"/>
  <c r="EZ6" i="5"/>
  <c r="EZ7" i="5"/>
  <c r="EZ8" i="5"/>
  <c r="EZ9" i="5"/>
  <c r="EY9" i="5"/>
  <c r="EX9" i="5"/>
  <c r="EW9" i="5"/>
  <c r="EU9" i="5"/>
  <c r="ET9" i="5"/>
  <c r="ES9" i="5"/>
  <c r="EL9" i="5"/>
  <c r="EK9" i="5"/>
  <c r="EJ9" i="5"/>
  <c r="EH9" i="5"/>
  <c r="EG9" i="5"/>
  <c r="EF9" i="5"/>
  <c r="DC9" i="5"/>
  <c r="CZ9" i="5"/>
  <c r="CS9" i="5"/>
  <c r="CR9" i="5"/>
  <c r="CO9" i="5"/>
  <c r="CN9" i="5"/>
  <c r="CM9" i="5"/>
  <c r="CC13" i="5"/>
  <c r="CF13" i="5"/>
  <c r="CG13" i="5"/>
  <c r="CD13" i="5"/>
  <c r="CE13" i="5"/>
  <c r="CB13" i="5"/>
  <c r="BY13" i="5"/>
  <c r="BV13" i="5"/>
  <c r="BR13" i="5"/>
  <c r="BN13" i="5"/>
  <c r="BJ13" i="5"/>
  <c r="BF13" i="5"/>
  <c r="BB13" i="5"/>
  <c r="AX13" i="5"/>
  <c r="AJ13" i="5"/>
  <c r="AI13" i="5"/>
  <c r="AH13" i="5"/>
  <c r="NI12" i="5"/>
  <c r="ML12" i="5"/>
  <c r="KZ12" i="5"/>
  <c r="KU12" i="5"/>
  <c r="KT12" i="5"/>
  <c r="KP12" i="5"/>
  <c r="JW12" i="5"/>
  <c r="GN6" i="5"/>
  <c r="GN7" i="5"/>
  <c r="GN8" i="5"/>
  <c r="GN9" i="5"/>
  <c r="GN10" i="5"/>
  <c r="GN11" i="5"/>
  <c r="GN12" i="5"/>
  <c r="FM12" i="5"/>
  <c r="AJ12" i="5"/>
  <c r="AI12" i="5"/>
  <c r="AH12" i="5"/>
  <c r="AA12" i="5"/>
  <c r="Z12" i="5"/>
  <c r="Y12" i="5"/>
  <c r="X12" i="5"/>
  <c r="G12" i="5"/>
  <c r="M12" i="5"/>
  <c r="L12" i="5"/>
  <c r="J12" i="5"/>
  <c r="I12" i="5"/>
  <c r="NK11" i="5"/>
  <c r="NL11" i="5"/>
  <c r="NM11" i="5"/>
  <c r="NI11" i="5"/>
  <c r="ML11" i="5"/>
  <c r="KZ11" i="5"/>
  <c r="KU11" i="5"/>
  <c r="KT11" i="5"/>
  <c r="KP11" i="5"/>
  <c r="JW11" i="5"/>
  <c r="FM11" i="5"/>
  <c r="CC11" i="5"/>
  <c r="CF11" i="5"/>
  <c r="CG11" i="5"/>
  <c r="CD11" i="5"/>
  <c r="CE11" i="5"/>
  <c r="CB11" i="5"/>
  <c r="BY11" i="5"/>
  <c r="BV11" i="5"/>
  <c r="BR11" i="5"/>
  <c r="BN11" i="5"/>
  <c r="BJ11" i="5"/>
  <c r="BF11" i="5"/>
  <c r="BB11" i="5"/>
  <c r="AX11" i="5"/>
  <c r="AA11" i="5"/>
  <c r="Z11" i="5"/>
  <c r="Y11" i="5"/>
  <c r="X11" i="5"/>
  <c r="G11" i="5"/>
  <c r="Q11" i="5"/>
  <c r="P11" i="5"/>
  <c r="M11" i="5"/>
  <c r="L11" i="5"/>
  <c r="J11" i="5"/>
  <c r="I11" i="5"/>
  <c r="NI10" i="5"/>
  <c r="ML10" i="5"/>
  <c r="KZ10" i="5"/>
  <c r="KU10" i="5"/>
  <c r="KT10" i="5"/>
  <c r="KP10" i="5"/>
  <c r="JW10" i="5"/>
  <c r="FM10" i="5"/>
  <c r="CC10" i="5"/>
  <c r="CF10" i="5"/>
  <c r="CG10" i="5"/>
  <c r="G10" i="5"/>
  <c r="CD10" i="5"/>
  <c r="CE10" i="5"/>
  <c r="CB10" i="5"/>
  <c r="BY10" i="5"/>
  <c r="BV10" i="5"/>
  <c r="BR10" i="5"/>
  <c r="BN10" i="5"/>
  <c r="BJ10" i="5"/>
  <c r="BF10" i="5"/>
  <c r="BB10" i="5"/>
  <c r="AX10" i="5"/>
  <c r="M10" i="5"/>
  <c r="L10" i="5"/>
  <c r="J10" i="5"/>
  <c r="I10" i="5"/>
  <c r="NK9" i="5"/>
  <c r="NL9" i="5"/>
  <c r="NM9" i="5"/>
  <c r="NI9" i="5"/>
  <c r="ML9" i="5"/>
  <c r="KZ9" i="5"/>
  <c r="KU9" i="5"/>
  <c r="KT9" i="5"/>
  <c r="KP9" i="5"/>
  <c r="JW9" i="5"/>
  <c r="FM9" i="5"/>
  <c r="CC9" i="5"/>
  <c r="CF9" i="5"/>
  <c r="CG9" i="5"/>
  <c r="G9" i="5"/>
  <c r="CD9" i="5"/>
  <c r="CE9" i="5"/>
  <c r="CB9" i="5"/>
  <c r="BY9" i="5"/>
  <c r="BV9" i="5"/>
  <c r="BR9" i="5"/>
  <c r="BN9" i="5"/>
  <c r="BJ9" i="5"/>
  <c r="BF9" i="5"/>
  <c r="BB9" i="5"/>
  <c r="AX9" i="5"/>
  <c r="AJ7" i="5"/>
  <c r="AJ9" i="5"/>
  <c r="AI7" i="5"/>
  <c r="AI9" i="5"/>
  <c r="AH7" i="5"/>
  <c r="AH9" i="5"/>
  <c r="Q9" i="5"/>
  <c r="P9" i="5"/>
  <c r="M9" i="5"/>
  <c r="L9" i="5"/>
  <c r="J9" i="5"/>
  <c r="I9" i="5"/>
  <c r="NK8" i="5"/>
  <c r="NL8" i="5"/>
  <c r="NM8" i="5"/>
  <c r="NI8" i="5"/>
  <c r="ML8" i="5"/>
  <c r="KZ8" i="5"/>
  <c r="KU8" i="5"/>
  <c r="KT8" i="5"/>
  <c r="KP8" i="5"/>
  <c r="JW8" i="5"/>
  <c r="FM8" i="5"/>
  <c r="FA8" i="5"/>
  <c r="FB8" i="5"/>
  <c r="FC8" i="5"/>
  <c r="CC8" i="5"/>
  <c r="CF8" i="5"/>
  <c r="CG8" i="5"/>
  <c r="G8" i="5"/>
  <c r="CD8" i="5"/>
  <c r="CE8" i="5"/>
  <c r="CB8" i="5"/>
  <c r="BY8" i="5"/>
  <c r="BV8" i="5"/>
  <c r="BR8" i="5"/>
  <c r="BN8" i="5"/>
  <c r="BJ8" i="5"/>
  <c r="BF8" i="5"/>
  <c r="BB8" i="5"/>
  <c r="AX8" i="5"/>
  <c r="AJ8" i="5"/>
  <c r="AI8" i="5"/>
  <c r="AH8" i="5"/>
  <c r="AA8" i="5"/>
  <c r="Q8" i="5"/>
  <c r="K8" i="5"/>
  <c r="P8" i="5"/>
  <c r="M8" i="5"/>
  <c r="L8" i="5"/>
  <c r="J8" i="5"/>
  <c r="I8" i="5"/>
  <c r="N7" i="5"/>
  <c r="MZ7" i="5"/>
  <c r="NK7" i="5"/>
  <c r="NL7" i="5"/>
  <c r="NM7" i="5"/>
  <c r="NI7" i="5"/>
  <c r="ML7" i="5"/>
  <c r="KZ7" i="5"/>
  <c r="KU7" i="5"/>
  <c r="KT7" i="5"/>
  <c r="KP7" i="5"/>
  <c r="JW7" i="5"/>
  <c r="FM7" i="5"/>
  <c r="FA7" i="5"/>
  <c r="FB7" i="5"/>
  <c r="FC7" i="5"/>
  <c r="CC7" i="5"/>
  <c r="CF7" i="5"/>
  <c r="CG7" i="5"/>
  <c r="G7" i="5"/>
  <c r="CD7" i="5"/>
  <c r="CE7" i="5"/>
  <c r="CB7" i="5"/>
  <c r="BY7" i="5"/>
  <c r="BV7" i="5"/>
  <c r="BR7" i="5"/>
  <c r="BN7" i="5"/>
  <c r="BJ7" i="5"/>
  <c r="BF7" i="5"/>
  <c r="BB7" i="5"/>
  <c r="AX7" i="5"/>
  <c r="Q7" i="5"/>
  <c r="K7" i="5"/>
  <c r="P7" i="5"/>
  <c r="M7" i="5"/>
  <c r="L7" i="5"/>
  <c r="J7" i="5"/>
  <c r="I7" i="5"/>
  <c r="ML6" i="5"/>
  <c r="KZ6" i="5"/>
  <c r="KU6" i="5"/>
  <c r="KT6" i="5"/>
  <c r="KP6" i="5"/>
  <c r="JW6" i="5"/>
  <c r="FA6" i="5"/>
  <c r="FB6" i="5"/>
  <c r="FC6" i="5"/>
  <c r="DV6" i="5"/>
  <c r="KO5" i="5"/>
  <c r="LL4" i="5"/>
  <c r="LN4" i="5"/>
  <c r="LP4" i="5"/>
  <c r="LV4" i="5"/>
  <c r="LX4" i="5"/>
  <c r="LT4" i="5"/>
  <c r="LR4" i="5"/>
  <c r="KU4" i="5"/>
  <c r="KW4" i="5"/>
  <c r="KV4" i="5"/>
  <c r="KQ4" i="5"/>
  <c r="KP4" i="5"/>
  <c r="JE4" i="5"/>
  <c r="JI4" i="5"/>
  <c r="JK4" i="5"/>
  <c r="JQ4" i="5"/>
  <c r="JS4" i="5"/>
  <c r="JM4" i="5"/>
  <c r="JO4" i="5"/>
  <c r="JG4" i="5"/>
  <c r="IP4" i="5"/>
  <c r="IR4" i="5"/>
  <c r="IT4" i="5"/>
  <c r="IM4" i="5"/>
  <c r="FP4" i="5"/>
  <c r="FN4" i="5"/>
  <c r="AJ4" i="5"/>
  <c r="AI4" i="5"/>
  <c r="AH4" i="5"/>
  <c r="CQ3" i="5"/>
  <c r="DB3" i="5"/>
  <c r="DW3" i="5"/>
  <c r="EJ3" i="5"/>
  <c r="FN3" i="5"/>
  <c r="HB3" i="5"/>
  <c r="HO3" i="5"/>
  <c r="CM3" i="5"/>
  <c r="CZ3" i="5"/>
  <c r="DS3" i="5"/>
  <c r="EF3" i="5"/>
  <c r="FJ3" i="5"/>
  <c r="GX3" i="5"/>
  <c r="HK3" i="5"/>
  <c r="GB3" i="5"/>
  <c r="GO3" i="5"/>
  <c r="FX3" i="5"/>
  <c r="GK3" i="5"/>
  <c r="EW3" i="5"/>
  <c r="ES3" i="5"/>
  <c r="DL3" i="5"/>
  <c r="DJ3" i="5"/>
  <c r="X14" i="5"/>
  <c r="AA14" i="5"/>
  <c r="X15" i="5"/>
  <c r="AA15" i="5"/>
  <c r="X16" i="5"/>
  <c r="AA16" i="5"/>
  <c r="JJ28" i="20" l="1"/>
  <c r="JW27" i="20" s="1"/>
  <c r="IT28" i="20"/>
  <c r="N21" i="20"/>
  <c r="N13" i="20"/>
  <c r="HU27" i="20"/>
  <c r="IU27" i="20"/>
  <c r="IZ27" i="20" s="1"/>
  <c r="HC27" i="20"/>
  <c r="IS27" i="20" s="1"/>
  <c r="IY27" i="20" s="1"/>
  <c r="EU27" i="20"/>
  <c r="DO27" i="20"/>
  <c r="CL27" i="20"/>
  <c r="BQ27" i="20"/>
  <c r="DS27" i="20"/>
  <c r="GM27" i="20" s="1"/>
  <c r="GC27" i="20"/>
  <c r="GQ27" i="20" s="1"/>
  <c r="BA27" i="20"/>
  <c r="GJ27" i="20" s="1"/>
  <c r="EY27" i="20"/>
  <c r="GO27" i="20" s="1"/>
  <c r="EB27" i="20"/>
  <c r="GN27" i="20" s="1"/>
  <c r="AV27" i="20"/>
  <c r="FN27" i="20"/>
  <c r="GP27" i="20" s="1"/>
  <c r="BT27" i="20"/>
  <c r="GK27" i="20" s="1"/>
  <c r="CR27" i="20"/>
  <c r="GL27" i="20" s="1"/>
  <c r="EU26" i="20"/>
  <c r="DO26" i="20"/>
  <c r="CL26" i="20"/>
  <c r="BQ26" i="20"/>
  <c r="AV26" i="20"/>
  <c r="EU25" i="20"/>
  <c r="DO25" i="20"/>
  <c r="CL25" i="20"/>
  <c r="BQ25" i="20"/>
  <c r="AV25" i="20"/>
  <c r="HC24" i="20"/>
  <c r="IS24" i="20" s="1"/>
  <c r="IY24" i="20" s="1"/>
  <c r="IU24" i="20"/>
  <c r="IZ24" i="20" s="1"/>
  <c r="HU24" i="20"/>
  <c r="EU24" i="20"/>
  <c r="DO24" i="20"/>
  <c r="BQ24" i="20"/>
  <c r="EY24" i="20"/>
  <c r="GO24" i="20" s="1"/>
  <c r="EB24" i="20"/>
  <c r="GN24" i="20" s="1"/>
  <c r="FN24" i="20"/>
  <c r="GP24" i="20" s="1"/>
  <c r="BT24" i="20"/>
  <c r="GK24" i="20" s="1"/>
  <c r="GC24" i="20"/>
  <c r="GQ24" i="20" s="1"/>
  <c r="CR24" i="20"/>
  <c r="GL24" i="20" s="1"/>
  <c r="DS24" i="20"/>
  <c r="GM24" i="20" s="1"/>
  <c r="BA24" i="20"/>
  <c r="GJ24" i="20" s="1"/>
  <c r="HC23" i="20"/>
  <c r="IS23" i="20" s="1"/>
  <c r="IY23" i="20" s="1"/>
  <c r="IU23" i="20"/>
  <c r="IZ23" i="20" s="1"/>
  <c r="HU23" i="20"/>
  <c r="EU23" i="20"/>
  <c r="DO23" i="20"/>
  <c r="CL23" i="20"/>
  <c r="DS23" i="20"/>
  <c r="GM23" i="20" s="1"/>
  <c r="BT23" i="20"/>
  <c r="GK23" i="20" s="1"/>
  <c r="EB23" i="20"/>
  <c r="GN23" i="20" s="1"/>
  <c r="GC23" i="20"/>
  <c r="GQ23" i="20" s="1"/>
  <c r="CR23" i="20"/>
  <c r="GL23" i="20" s="1"/>
  <c r="EY23" i="20"/>
  <c r="GO23" i="20" s="1"/>
  <c r="FN23" i="20"/>
  <c r="BA23" i="20"/>
  <c r="GJ23" i="20" s="1"/>
  <c r="AV23" i="20"/>
  <c r="EU22" i="20"/>
  <c r="DO22" i="20"/>
  <c r="CL22" i="20"/>
  <c r="BQ22" i="20"/>
  <c r="AV22" i="20"/>
  <c r="EU21" i="20"/>
  <c r="DO21" i="20"/>
  <c r="CL21" i="20"/>
  <c r="BQ21" i="20"/>
  <c r="AV21" i="20"/>
  <c r="EU20" i="20"/>
  <c r="DO20" i="20"/>
  <c r="CL20" i="20"/>
  <c r="BQ20" i="20"/>
  <c r="AV20" i="20"/>
  <c r="EU19" i="20"/>
  <c r="DO19" i="20"/>
  <c r="CL19" i="20"/>
  <c r="BQ19" i="20"/>
  <c r="AV19" i="20"/>
  <c r="EU18" i="20"/>
  <c r="DO18" i="20"/>
  <c r="CL18" i="20"/>
  <c r="BQ18" i="20"/>
  <c r="AV18" i="20"/>
  <c r="EU17" i="20"/>
  <c r="DO17" i="20"/>
  <c r="CL17" i="20"/>
  <c r="BQ17" i="20"/>
  <c r="AV17" i="20"/>
  <c r="EU16" i="20"/>
  <c r="DO16" i="20"/>
  <c r="CL16" i="20"/>
  <c r="BQ16" i="20"/>
  <c r="AV16" i="20"/>
  <c r="EU15" i="20"/>
  <c r="DO15" i="20"/>
  <c r="CL15" i="20"/>
  <c r="EU14" i="20"/>
  <c r="DO14" i="20"/>
  <c r="CL14" i="20"/>
  <c r="BQ14" i="20"/>
  <c r="AV14" i="20"/>
  <c r="EU13" i="20"/>
  <c r="DO13" i="20"/>
  <c r="CL13" i="20"/>
  <c r="BQ13" i="20"/>
  <c r="AV13" i="20"/>
  <c r="EU12" i="20"/>
  <c r="DO12" i="20"/>
  <c r="CL12" i="20"/>
  <c r="BQ12" i="20"/>
  <c r="AV12" i="20"/>
  <c r="EU11" i="20"/>
  <c r="DO11" i="20"/>
  <c r="CL11" i="20"/>
  <c r="BQ11" i="20"/>
  <c r="AV11" i="20"/>
  <c r="EU10" i="20"/>
  <c r="DO10" i="20"/>
  <c r="CL10" i="20"/>
  <c r="BQ10" i="20"/>
  <c r="AV10" i="20"/>
  <c r="EU9" i="20"/>
  <c r="DO9" i="20"/>
  <c r="CL9" i="20"/>
  <c r="BQ9" i="20"/>
  <c r="AV9" i="20"/>
  <c r="IS8" i="20"/>
  <c r="IY8" i="20" s="1"/>
  <c r="EU8" i="20"/>
  <c r="DO8" i="20"/>
  <c r="CL8" i="20"/>
  <c r="CE8" i="20"/>
  <c r="CD8" i="20"/>
  <c r="BQ8" i="20"/>
  <c r="BA8" i="20"/>
  <c r="GJ8" i="20" s="1"/>
  <c r="EB8" i="20"/>
  <c r="GN8" i="20" s="1"/>
  <c r="DS8" i="20"/>
  <c r="GM8" i="20" s="1"/>
  <c r="AV8" i="20"/>
  <c r="FN8" i="20"/>
  <c r="GP8" i="20" s="1"/>
  <c r="GC8" i="20"/>
  <c r="GQ8" i="20" s="1"/>
  <c r="EY8" i="20"/>
  <c r="GO8" i="20" s="1"/>
  <c r="CR8" i="20"/>
  <c r="GL8" i="20" s="1"/>
  <c r="BT8" i="20"/>
  <c r="GK8" i="20" s="1"/>
  <c r="EU7" i="20"/>
  <c r="EI5" i="20"/>
  <c r="EI7" i="20"/>
  <c r="EI4" i="20"/>
  <c r="DO7" i="20"/>
  <c r="CL7" i="20"/>
  <c r="CD7" i="20"/>
  <c r="CE7" i="20"/>
  <c r="BQ7" i="20"/>
  <c r="AV7" i="20"/>
  <c r="GP23" i="20"/>
  <c r="EU6" i="20"/>
  <c r="DO6" i="20"/>
  <c r="CL6" i="20"/>
  <c r="CD6" i="20"/>
  <c r="CE6" i="20"/>
  <c r="BQ6" i="20"/>
  <c r="AT6" i="20"/>
  <c r="AV6" i="20" s="1"/>
  <c r="EU5" i="20"/>
  <c r="DO5" i="20"/>
  <c r="CL5" i="20"/>
  <c r="CD5" i="20"/>
  <c r="CE5" i="20"/>
  <c r="BQ5" i="20"/>
  <c r="AV5" i="20"/>
  <c r="IK4" i="20"/>
  <c r="IE4" i="20"/>
  <c r="HA28" i="20"/>
  <c r="EU4" i="20"/>
  <c r="DZ4" i="20"/>
  <c r="DM4" i="20"/>
  <c r="DO4" i="20"/>
  <c r="CL4" i="20"/>
  <c r="CN4" i="20"/>
  <c r="CD4" i="20"/>
  <c r="CE4" i="20"/>
  <c r="BQ4" i="20"/>
  <c r="AU28" i="20"/>
  <c r="AT4" i="20"/>
  <c r="AV4" i="20" s="1"/>
  <c r="P28" i="20"/>
  <c r="Q4" i="20"/>
  <c r="NK29" i="19"/>
  <c r="NL29" i="19" s="1"/>
  <c r="NM29" i="19" s="1"/>
  <c r="MZ34" i="19"/>
  <c r="NA29" i="19" s="1"/>
  <c r="JL27" i="19"/>
  <c r="K17" i="19"/>
  <c r="AH13" i="19"/>
  <c r="JU26" i="19"/>
  <c r="IS27" i="19"/>
  <c r="K9" i="19"/>
  <c r="KT26" i="19"/>
  <c r="KU27" i="19" s="1"/>
  <c r="K8" i="19"/>
  <c r="IQ27" i="19"/>
  <c r="KU7" i="19"/>
  <c r="KW19" i="19"/>
  <c r="KY19" i="19"/>
  <c r="KU18" i="19"/>
  <c r="KW18" i="19"/>
  <c r="KY20" i="19"/>
  <c r="KU11" i="19"/>
  <c r="KW11" i="19"/>
  <c r="KY11" i="19"/>
  <c r="KY8" i="19"/>
  <c r="KU12" i="19"/>
  <c r="KW12" i="19"/>
  <c r="KY12" i="19"/>
  <c r="KY7" i="19"/>
  <c r="KW7" i="19"/>
  <c r="ID26" i="19"/>
  <c r="KU19" i="19"/>
  <c r="KY6" i="19"/>
  <c r="KW6" i="19"/>
  <c r="KU6" i="19"/>
  <c r="KY10" i="19"/>
  <c r="KU16" i="19"/>
  <c r="KW16" i="19"/>
  <c r="KY16" i="19"/>
  <c r="KW10" i="19"/>
  <c r="KU10" i="19"/>
  <c r="KW20" i="19"/>
  <c r="KU8" i="19"/>
  <c r="KW8" i="19"/>
  <c r="KU17" i="19"/>
  <c r="KW17" i="19"/>
  <c r="KY17" i="19"/>
  <c r="KY18" i="19"/>
  <c r="KY9" i="19"/>
  <c r="KW9" i="19"/>
  <c r="KU9" i="19"/>
  <c r="KU20" i="19"/>
  <c r="JD25" i="19"/>
  <c r="IM25" i="19"/>
  <c r="IO25" i="19" s="1"/>
  <c r="JN25" i="19"/>
  <c r="IM24" i="19"/>
  <c r="IO24" i="19" s="1"/>
  <c r="JD24" i="19"/>
  <c r="FJ36" i="19"/>
  <c r="FM36" i="19" s="1"/>
  <c r="F20" i="19" s="1"/>
  <c r="FM24" i="19"/>
  <c r="Q24" i="19"/>
  <c r="R24" i="19"/>
  <c r="X11" i="19"/>
  <c r="Z11" i="19"/>
  <c r="Y11" i="19"/>
  <c r="I11" i="19"/>
  <c r="Z8" i="19"/>
  <c r="Y8" i="19"/>
  <c r="G11" i="19"/>
  <c r="X8" i="19"/>
  <c r="IM23" i="19"/>
  <c r="IO23" i="19" s="1"/>
  <c r="JD23" i="19"/>
  <c r="IM22" i="19"/>
  <c r="IO22" i="19" s="1"/>
  <c r="JD22" i="19"/>
  <c r="JD21" i="19"/>
  <c r="IM21" i="19"/>
  <c r="IO21" i="19" s="1"/>
  <c r="IM20" i="19"/>
  <c r="IO20" i="19" s="1"/>
  <c r="JD20" i="19"/>
  <c r="I20" i="19"/>
  <c r="J20" i="19"/>
  <c r="IM19" i="19"/>
  <c r="IO19" i="19" s="1"/>
  <c r="JD19" i="19"/>
  <c r="IM18" i="19"/>
  <c r="IO18" i="19" s="1"/>
  <c r="JD18" i="19"/>
  <c r="JD17" i="19"/>
  <c r="IM17" i="19"/>
  <c r="IO17" i="19" s="1"/>
  <c r="I17" i="19"/>
  <c r="J17" i="19"/>
  <c r="JD16" i="19"/>
  <c r="IM16" i="19"/>
  <c r="IO16" i="19" s="1"/>
  <c r="J16" i="19"/>
  <c r="I16" i="19"/>
  <c r="AJ9" i="19"/>
  <c r="G16" i="19"/>
  <c r="CD15" i="19" s="1"/>
  <c r="CE15" i="19" s="1"/>
  <c r="IM15" i="19"/>
  <c r="IO15" i="19" s="1"/>
  <c r="JD15" i="19"/>
  <c r="J15" i="19"/>
  <c r="I15" i="19"/>
  <c r="G15" i="19"/>
  <c r="CD14" i="19" s="1"/>
  <c r="CE14" i="19" s="1"/>
  <c r="AI9" i="19"/>
  <c r="IM14" i="19"/>
  <c r="IO14" i="19" s="1"/>
  <c r="JD14" i="19"/>
  <c r="HE12" i="19"/>
  <c r="HE14" i="19" s="1"/>
  <c r="H10" i="19" s="1"/>
  <c r="HB14" i="19"/>
  <c r="HA12" i="19"/>
  <c r="HA14" i="19" s="1"/>
  <c r="F10" i="19" s="1"/>
  <c r="GX14" i="19"/>
  <c r="KE26" i="19"/>
  <c r="KH26" i="19" s="1"/>
  <c r="KF13" i="19" s="1"/>
  <c r="KH13" i="19" s="1"/>
  <c r="LH14" i="19" s="1"/>
  <c r="KC26" i="19"/>
  <c r="K25" i="19" s="1"/>
  <c r="KD13" i="19"/>
  <c r="KG13" i="19" s="1"/>
  <c r="LG14" i="19" s="1"/>
  <c r="JP13" i="19"/>
  <c r="JR13" i="19"/>
  <c r="JT13" i="19"/>
  <c r="JH13" i="19"/>
  <c r="JF13" i="19"/>
  <c r="JN13" i="19"/>
  <c r="IW13" i="19"/>
  <c r="MG13" i="19" s="1"/>
  <c r="KR13" i="19"/>
  <c r="IM12" i="19"/>
  <c r="IO12" i="19" s="1"/>
  <c r="JD12" i="19"/>
  <c r="NK11" i="19"/>
  <c r="NL11" i="19" s="1"/>
  <c r="NM11" i="19" s="1"/>
  <c r="IM11" i="19"/>
  <c r="IO11" i="19" s="1"/>
  <c r="JD11" i="19"/>
  <c r="Q11" i="19"/>
  <c r="P11" i="19"/>
  <c r="O11" i="19"/>
  <c r="R11" i="19" s="1"/>
  <c r="JD10" i="19"/>
  <c r="IM10" i="19"/>
  <c r="IO10" i="19" s="1"/>
  <c r="AA11" i="19"/>
  <c r="AA12" i="19"/>
  <c r="IM9" i="19"/>
  <c r="IO9" i="19" s="1"/>
  <c r="JD9" i="19"/>
  <c r="I19" i="19"/>
  <c r="J19" i="19"/>
  <c r="AJ12" i="19"/>
  <c r="AI12" i="19"/>
  <c r="AH12" i="19"/>
  <c r="MZ9" i="19"/>
  <c r="O9" i="19"/>
  <c r="P9" i="19"/>
  <c r="JD8" i="19"/>
  <c r="IM8" i="19"/>
  <c r="IO8" i="19" s="1"/>
  <c r="MZ8" i="19"/>
  <c r="O8" i="19"/>
  <c r="P8" i="19"/>
  <c r="Q8" i="19"/>
  <c r="J8" i="19"/>
  <c r="I8" i="19"/>
  <c r="CC8" i="19"/>
  <c r="CF8" i="19" s="1"/>
  <c r="CG8" i="19" s="1"/>
  <c r="G8" i="19"/>
  <c r="CD8" i="19" s="1"/>
  <c r="CE8" i="19" s="1"/>
  <c r="IM7" i="19"/>
  <c r="IO7" i="19" s="1"/>
  <c r="JD7" i="19"/>
  <c r="MZ7" i="19"/>
  <c r="O7" i="19"/>
  <c r="KG6" i="19"/>
  <c r="LG7" i="19" s="1"/>
  <c r="LP7" i="19" s="1"/>
  <c r="KD26" i="19"/>
  <c r="ML6" i="19"/>
  <c r="MF26" i="19"/>
  <c r="JD6" i="19"/>
  <c r="IM6" i="19"/>
  <c r="IO6" i="19" s="1"/>
  <c r="LN7" i="19"/>
  <c r="JJ26" i="19"/>
  <c r="EZ9" i="19"/>
  <c r="FB6" i="19"/>
  <c r="FA6" i="19"/>
  <c r="FC6" i="19" s="1"/>
  <c r="I18" i="19"/>
  <c r="J18" i="19"/>
  <c r="G18" i="19"/>
  <c r="CD17" i="19" s="1"/>
  <c r="CE17" i="19" s="1"/>
  <c r="CC17" i="19"/>
  <c r="CF17" i="19" s="1"/>
  <c r="CG17" i="19" s="1"/>
  <c r="I14" i="19"/>
  <c r="J14" i="19"/>
  <c r="H21" i="19"/>
  <c r="G14" i="19"/>
  <c r="CD13" i="19" s="1"/>
  <c r="CE13" i="19" s="1"/>
  <c r="F21" i="19"/>
  <c r="AH9" i="19"/>
  <c r="CC13" i="19"/>
  <c r="CF13" i="19" s="1"/>
  <c r="CG13" i="19" s="1"/>
  <c r="LP4" i="19"/>
  <c r="LR4" i="19"/>
  <c r="JG4" i="19"/>
  <c r="JI4" i="19"/>
  <c r="JK4" i="19" s="1"/>
  <c r="DL3" i="19"/>
  <c r="DW3" i="19"/>
  <c r="EJ3" i="19" s="1"/>
  <c r="DJ3" i="19"/>
  <c r="DS3" i="19"/>
  <c r="EF3" i="19" s="1"/>
  <c r="MI26" i="19"/>
  <c r="JJ28" i="18"/>
  <c r="JW27" i="18" s="1"/>
  <c r="IT28" i="18"/>
  <c r="N5" i="18"/>
  <c r="CL5" i="18" s="1"/>
  <c r="ID4" i="18"/>
  <c r="N12" i="18"/>
  <c r="N20" i="18"/>
  <c r="HC27" i="18"/>
  <c r="IS27" i="18" s="1"/>
  <c r="IY27" i="18" s="1"/>
  <c r="HU27" i="18"/>
  <c r="IU27" i="18"/>
  <c r="IZ27" i="18" s="1"/>
  <c r="EU27" i="18"/>
  <c r="DO27" i="18"/>
  <c r="CL27" i="18"/>
  <c r="BQ27" i="18"/>
  <c r="DS27" i="18"/>
  <c r="GM27" i="18" s="1"/>
  <c r="BA27" i="18"/>
  <c r="GJ27" i="18" s="1"/>
  <c r="CR27" i="18"/>
  <c r="GL27" i="18" s="1"/>
  <c r="AV27" i="18"/>
  <c r="BT27" i="18"/>
  <c r="GK27" i="18" s="1"/>
  <c r="GC27" i="18"/>
  <c r="GQ27" i="18" s="1"/>
  <c r="FN27" i="18"/>
  <c r="GP27" i="18" s="1"/>
  <c r="EY27" i="18"/>
  <c r="GO27" i="18" s="1"/>
  <c r="EB27" i="18"/>
  <c r="GN27" i="18" s="1"/>
  <c r="EU26" i="18"/>
  <c r="DO26" i="18"/>
  <c r="CL26" i="18"/>
  <c r="BQ26" i="18"/>
  <c r="AV26" i="18"/>
  <c r="EU25" i="18"/>
  <c r="DO25" i="18"/>
  <c r="CL25" i="18"/>
  <c r="BQ25" i="18"/>
  <c r="AV25" i="18"/>
  <c r="HU24" i="18"/>
  <c r="IU24" i="18"/>
  <c r="IZ24" i="18" s="1"/>
  <c r="HC24" i="18"/>
  <c r="IS24" i="18" s="1"/>
  <c r="IY24" i="18" s="1"/>
  <c r="EU24" i="18"/>
  <c r="DO24" i="18"/>
  <c r="CL24" i="18"/>
  <c r="BQ24" i="18"/>
  <c r="EB24" i="18"/>
  <c r="GN24" i="18" s="1"/>
  <c r="DS24" i="18"/>
  <c r="GM24" i="18" s="1"/>
  <c r="EY24" i="18"/>
  <c r="GO24" i="18" s="1"/>
  <c r="GC24" i="18"/>
  <c r="GQ24" i="18" s="1"/>
  <c r="AV24" i="18"/>
  <c r="FN24" i="18"/>
  <c r="GP24" i="18" s="1"/>
  <c r="CR24" i="18"/>
  <c r="GL24" i="18" s="1"/>
  <c r="BT24" i="18"/>
  <c r="GK24" i="18" s="1"/>
  <c r="BA24" i="18"/>
  <c r="GJ24" i="18" s="1"/>
  <c r="IU23" i="18"/>
  <c r="IZ23" i="18" s="1"/>
  <c r="HC23" i="18"/>
  <c r="IS23" i="18" s="1"/>
  <c r="IY23" i="18" s="1"/>
  <c r="HU23" i="18"/>
  <c r="EU23" i="18"/>
  <c r="DO23" i="18"/>
  <c r="BQ23" i="18"/>
  <c r="BA23" i="18"/>
  <c r="BT23" i="18"/>
  <c r="GK23" i="18" s="1"/>
  <c r="DS23" i="18"/>
  <c r="GM23" i="18" s="1"/>
  <c r="GC23" i="18"/>
  <c r="GQ23" i="18" s="1"/>
  <c r="EY23" i="18"/>
  <c r="GO23" i="18" s="1"/>
  <c r="FN23" i="18"/>
  <c r="GP23" i="18" s="1"/>
  <c r="AV23" i="18"/>
  <c r="CR23" i="18"/>
  <c r="GL23" i="18" s="1"/>
  <c r="EB23" i="18"/>
  <c r="GN23" i="18" s="1"/>
  <c r="EU22" i="18"/>
  <c r="DO22" i="18"/>
  <c r="CL22" i="18"/>
  <c r="BQ22" i="18"/>
  <c r="AV22" i="18"/>
  <c r="EU21" i="18"/>
  <c r="DO21" i="18"/>
  <c r="CL21" i="18"/>
  <c r="BQ21" i="18"/>
  <c r="AV21" i="18"/>
  <c r="EU20" i="18"/>
  <c r="DO20" i="18"/>
  <c r="CL20" i="18"/>
  <c r="BQ20" i="18"/>
  <c r="AV20" i="18"/>
  <c r="EU19" i="18"/>
  <c r="DO19" i="18"/>
  <c r="CL19" i="18"/>
  <c r="BQ19" i="18"/>
  <c r="AV19" i="18"/>
  <c r="EU18" i="18"/>
  <c r="DO18" i="18"/>
  <c r="CL18" i="18"/>
  <c r="BQ18" i="18"/>
  <c r="AV18" i="18"/>
  <c r="EU17" i="18"/>
  <c r="DO17" i="18"/>
  <c r="CL17" i="18"/>
  <c r="BQ17" i="18"/>
  <c r="AV17" i="18"/>
  <c r="EU16" i="18"/>
  <c r="DO16" i="18"/>
  <c r="CL16" i="18"/>
  <c r="BQ16" i="18"/>
  <c r="AV16" i="18"/>
  <c r="EU15" i="18"/>
  <c r="DO15" i="18"/>
  <c r="CL15" i="18"/>
  <c r="BQ15" i="18"/>
  <c r="AV15" i="18"/>
  <c r="EU14" i="18"/>
  <c r="DO14" i="18"/>
  <c r="CL14" i="18"/>
  <c r="BQ14" i="18"/>
  <c r="AV14" i="18"/>
  <c r="EU13" i="18"/>
  <c r="DO13" i="18"/>
  <c r="BQ13" i="18"/>
  <c r="AV13" i="18"/>
  <c r="AV12" i="18"/>
  <c r="EU11" i="18"/>
  <c r="DO11" i="18"/>
  <c r="CL11" i="18"/>
  <c r="BQ11" i="18"/>
  <c r="AV11" i="18"/>
  <c r="EU10" i="18"/>
  <c r="DO10" i="18"/>
  <c r="CL10" i="18"/>
  <c r="BQ10" i="18"/>
  <c r="AV10" i="18"/>
  <c r="EU9" i="18"/>
  <c r="DO9" i="18"/>
  <c r="CL9" i="18"/>
  <c r="BQ9" i="18"/>
  <c r="AV9" i="18"/>
  <c r="IS8" i="18"/>
  <c r="IY8" i="18" s="1"/>
  <c r="EU8" i="18"/>
  <c r="DO8" i="18"/>
  <c r="CL8" i="18"/>
  <c r="CE8" i="18"/>
  <c r="CD8" i="18"/>
  <c r="BQ8" i="18"/>
  <c r="DS8" i="18"/>
  <c r="GM8" i="18" s="1"/>
  <c r="AV8" i="18"/>
  <c r="CR8" i="18"/>
  <c r="GL8" i="18" s="1"/>
  <c r="GC8" i="18"/>
  <c r="GQ8" i="18" s="1"/>
  <c r="FN8" i="18"/>
  <c r="GP8" i="18" s="1"/>
  <c r="EY8" i="18"/>
  <c r="GO8" i="18" s="1"/>
  <c r="EB8" i="18"/>
  <c r="GN8" i="18" s="1"/>
  <c r="BA8" i="18"/>
  <c r="GJ8" i="18" s="1"/>
  <c r="BT8" i="18"/>
  <c r="GK8" i="18" s="1"/>
  <c r="EU7" i="18"/>
  <c r="EI4" i="18"/>
  <c r="EI7" i="18"/>
  <c r="DO7" i="18"/>
  <c r="CL7" i="18"/>
  <c r="CE7" i="18"/>
  <c r="CD7" i="18"/>
  <c r="BQ7" i="18"/>
  <c r="EU6" i="18"/>
  <c r="DO6" i="18"/>
  <c r="CL6" i="18"/>
  <c r="CD6" i="18"/>
  <c r="CE6" i="18"/>
  <c r="BQ6" i="18"/>
  <c r="AT6" i="18"/>
  <c r="AV6" i="18" s="1"/>
  <c r="GJ23" i="18"/>
  <c r="EU5" i="18"/>
  <c r="DO5" i="18"/>
  <c r="CE5" i="18"/>
  <c r="CD5" i="18"/>
  <c r="BQ5" i="18"/>
  <c r="HA28" i="18"/>
  <c r="EU4" i="18"/>
  <c r="DO4" i="18"/>
  <c r="CL4" i="18"/>
  <c r="CE4" i="18"/>
  <c r="CE9" i="18" s="1"/>
  <c r="CO28" i="18" s="1"/>
  <c r="CD4" i="18"/>
  <c r="CD9" i="18" s="1"/>
  <c r="CM28" i="18" s="1"/>
  <c r="BQ4" i="18"/>
  <c r="AU28" i="18"/>
  <c r="AT4" i="18"/>
  <c r="AV4" i="18" s="1"/>
  <c r="P28" i="18"/>
  <c r="Q4" i="18" s="1"/>
  <c r="NK29" i="17"/>
  <c r="NL29" i="17" s="1"/>
  <c r="NM29" i="17" s="1"/>
  <c r="NA29" i="17"/>
  <c r="MZ34" i="17"/>
  <c r="JL27" i="17"/>
  <c r="K17" i="17"/>
  <c r="IQ27" i="17"/>
  <c r="KT26" i="17"/>
  <c r="KU27" i="17" s="1"/>
  <c r="KW19" i="17"/>
  <c r="ID26" i="17"/>
  <c r="KY11" i="17"/>
  <c r="KW11" i="17"/>
  <c r="KU11" i="17"/>
  <c r="KU19" i="17"/>
  <c r="KU15" i="17"/>
  <c r="KY10" i="17"/>
  <c r="KW10" i="17"/>
  <c r="KU10" i="17"/>
  <c r="KW15" i="17"/>
  <c r="KY15" i="17"/>
  <c r="KY18" i="17"/>
  <c r="KW18" i="17"/>
  <c r="KU16" i="17"/>
  <c r="KY16" i="17"/>
  <c r="KU17" i="17"/>
  <c r="KW17" i="17"/>
  <c r="KY17" i="17"/>
  <c r="KU18" i="17"/>
  <c r="KY19" i="17"/>
  <c r="KW16" i="17"/>
  <c r="JD25" i="17"/>
  <c r="IM25" i="17"/>
  <c r="IO25" i="17" s="1"/>
  <c r="JN25" i="17"/>
  <c r="JD24" i="17"/>
  <c r="IM24" i="17"/>
  <c r="IO24" i="17" s="1"/>
  <c r="R24" i="17"/>
  <c r="Q24" i="17"/>
  <c r="IM23" i="17"/>
  <c r="IO23" i="17" s="1"/>
  <c r="JD23" i="17"/>
  <c r="JD22" i="17"/>
  <c r="IM22" i="17"/>
  <c r="IO22" i="17" s="1"/>
  <c r="IM21" i="17"/>
  <c r="IO21" i="17" s="1"/>
  <c r="JD21" i="17"/>
  <c r="JD20" i="17"/>
  <c r="IM20" i="17"/>
  <c r="IO20" i="17" s="1"/>
  <c r="FM20" i="17"/>
  <c r="FJ36" i="17"/>
  <c r="FM36" i="17" s="1"/>
  <c r="F20" i="17" s="1"/>
  <c r="I20" i="17"/>
  <c r="IM19" i="17"/>
  <c r="IO19" i="17" s="1"/>
  <c r="JD19" i="17"/>
  <c r="JD18" i="17"/>
  <c r="IM18" i="17"/>
  <c r="IO18" i="17" s="1"/>
  <c r="JD17" i="17"/>
  <c r="IM17" i="17"/>
  <c r="IO17" i="17" s="1"/>
  <c r="IM16" i="17"/>
  <c r="IO16" i="17" s="1"/>
  <c r="JD16" i="17"/>
  <c r="IM15" i="17"/>
  <c r="IO15" i="17" s="1"/>
  <c r="JD15" i="17"/>
  <c r="JD14" i="17"/>
  <c r="IM14" i="17"/>
  <c r="IO14" i="17" s="1"/>
  <c r="IM13" i="17"/>
  <c r="IO13" i="17" s="1"/>
  <c r="JD13" i="17"/>
  <c r="IM12" i="17"/>
  <c r="IO12" i="17" s="1"/>
  <c r="JD12" i="17"/>
  <c r="HB14" i="17"/>
  <c r="HE12" i="17"/>
  <c r="HE14" i="17" s="1"/>
  <c r="H10" i="17" s="1"/>
  <c r="GX14" i="17"/>
  <c r="HA12" i="17"/>
  <c r="HA14" i="17" s="1"/>
  <c r="F10" i="17" s="1"/>
  <c r="I17" i="17"/>
  <c r="J17" i="17"/>
  <c r="G17" i="17"/>
  <c r="CD16" i="17" s="1"/>
  <c r="CE16" i="17" s="1"/>
  <c r="CC16" i="17"/>
  <c r="CF16" i="17" s="1"/>
  <c r="CG16" i="17" s="1"/>
  <c r="NK11" i="17"/>
  <c r="NL11" i="17" s="1"/>
  <c r="NM11" i="17" s="1"/>
  <c r="IM11" i="17"/>
  <c r="IO11" i="17" s="1"/>
  <c r="JD11" i="17"/>
  <c r="O11" i="17"/>
  <c r="R11" i="17" s="1"/>
  <c r="Q11" i="17"/>
  <c r="P11" i="17"/>
  <c r="IM10" i="17"/>
  <c r="IO10" i="17" s="1"/>
  <c r="JD10" i="17"/>
  <c r="AA11" i="17"/>
  <c r="AA12" i="17"/>
  <c r="JD9" i="17"/>
  <c r="IM9" i="17"/>
  <c r="IO9" i="17" s="1"/>
  <c r="I19" i="17"/>
  <c r="J19" i="17"/>
  <c r="I16" i="17"/>
  <c r="J16" i="17"/>
  <c r="AJ12" i="17"/>
  <c r="AJ13" i="17"/>
  <c r="G16" i="17"/>
  <c r="CD15" i="17" s="1"/>
  <c r="CE15" i="17" s="1"/>
  <c r="AJ9" i="17"/>
  <c r="CC15" i="17"/>
  <c r="CF15" i="17" s="1"/>
  <c r="CG15" i="17" s="1"/>
  <c r="I15" i="17"/>
  <c r="J15" i="17"/>
  <c r="AI12" i="17"/>
  <c r="AI13" i="17"/>
  <c r="G15" i="17"/>
  <c r="CD14" i="17" s="1"/>
  <c r="CE14" i="17" s="1"/>
  <c r="AI9" i="17"/>
  <c r="CC14" i="17"/>
  <c r="CF14" i="17" s="1"/>
  <c r="CG14" i="17" s="1"/>
  <c r="AH12" i="17"/>
  <c r="AH13" i="17"/>
  <c r="O9" i="17"/>
  <c r="MZ9" i="17"/>
  <c r="P9" i="17"/>
  <c r="L9" i="17"/>
  <c r="IM8" i="17"/>
  <c r="IO8" i="17" s="1"/>
  <c r="JD8" i="17"/>
  <c r="FA8" i="17"/>
  <c r="FC8" i="17" s="1"/>
  <c r="FB8" i="17"/>
  <c r="Q8" i="17"/>
  <c r="O8" i="17"/>
  <c r="P8" i="17"/>
  <c r="MZ8" i="17"/>
  <c r="L8" i="17"/>
  <c r="M8" i="17"/>
  <c r="J8" i="17"/>
  <c r="I8" i="17"/>
  <c r="G8" i="17"/>
  <c r="CD8" i="17" s="1"/>
  <c r="CE8" i="17" s="1"/>
  <c r="CC8" i="17"/>
  <c r="CF8" i="17" s="1"/>
  <c r="CG8" i="17" s="1"/>
  <c r="NK7" i="17"/>
  <c r="NL7" i="17" s="1"/>
  <c r="NM7" i="17" s="1"/>
  <c r="NA7" i="17"/>
  <c r="JD7" i="17"/>
  <c r="IM7" i="17"/>
  <c r="IO7" i="17" s="1"/>
  <c r="FB7" i="17"/>
  <c r="FA7" i="17"/>
  <c r="FC7" i="17" s="1"/>
  <c r="O7" i="17"/>
  <c r="P7" i="17"/>
  <c r="L7" i="17"/>
  <c r="KE26" i="17"/>
  <c r="KH26" i="17" s="1"/>
  <c r="KF6" i="17" s="1"/>
  <c r="KH6" i="17" s="1"/>
  <c r="LH7" i="17" s="1"/>
  <c r="KC26" i="17"/>
  <c r="K25" i="17" s="1"/>
  <c r="KD6" i="17"/>
  <c r="ML6" i="17"/>
  <c r="MF26" i="17"/>
  <c r="ML26" i="17" s="1"/>
  <c r="IM6" i="17"/>
  <c r="IO6" i="17" s="1"/>
  <c r="JD6" i="17"/>
  <c r="JJ26" i="17"/>
  <c r="I11" i="17"/>
  <c r="X11" i="17"/>
  <c r="Y11" i="17"/>
  <c r="Z11" i="17"/>
  <c r="Y8" i="17"/>
  <c r="G11" i="17"/>
  <c r="X8" i="17"/>
  <c r="Z8" i="17"/>
  <c r="CC22" i="17"/>
  <c r="CF22" i="17" s="1"/>
  <c r="CG22" i="17" s="1"/>
  <c r="EZ9" i="17"/>
  <c r="FB6" i="17"/>
  <c r="FA6" i="17"/>
  <c r="FC6" i="17" s="1"/>
  <c r="I18" i="17"/>
  <c r="J18" i="17"/>
  <c r="G18" i="17"/>
  <c r="CD17" i="17" s="1"/>
  <c r="CE17" i="17" s="1"/>
  <c r="CC17" i="17"/>
  <c r="CF17" i="17" s="1"/>
  <c r="CG17" i="17" s="1"/>
  <c r="I14" i="17"/>
  <c r="J14" i="17"/>
  <c r="H21" i="17"/>
  <c r="G14" i="17"/>
  <c r="CD13" i="17" s="1"/>
  <c r="CE13" i="17" s="1"/>
  <c r="AH9" i="17"/>
  <c r="CC13" i="17"/>
  <c r="CF13" i="17" s="1"/>
  <c r="CG13" i="17" s="1"/>
  <c r="LP4" i="17"/>
  <c r="LR4" i="17"/>
  <c r="JG4" i="17"/>
  <c r="JI4" i="17"/>
  <c r="JK4" i="17" s="1"/>
  <c r="DW3" i="17"/>
  <c r="EJ3" i="17" s="1"/>
  <c r="DL3" i="17"/>
  <c r="DJ3" i="17"/>
  <c r="DS3" i="17"/>
  <c r="EF3" i="17" s="1"/>
  <c r="AV5" i="18"/>
  <c r="JY3" i="18"/>
  <c r="HD14" i="17"/>
  <c r="HC14" i="17"/>
  <c r="GZ14" i="17"/>
  <c r="GY14" i="17"/>
  <c r="AI8" i="17"/>
  <c r="AA8" i="17"/>
  <c r="AJ8" i="17"/>
  <c r="AH8" i="17"/>
  <c r="JJ28" i="16"/>
  <c r="JW27" i="16" s="1"/>
  <c r="IT28" i="16"/>
  <c r="N21" i="16"/>
  <c r="N7" i="16"/>
  <c r="N14" i="16"/>
  <c r="HC27" i="16"/>
  <c r="IS27" i="16" s="1"/>
  <c r="IY27" i="16" s="1"/>
  <c r="HU27" i="16"/>
  <c r="IU27" i="16"/>
  <c r="IZ27" i="16" s="1"/>
  <c r="EU27" i="16"/>
  <c r="DO27" i="16"/>
  <c r="CL27" i="16"/>
  <c r="BQ27" i="16"/>
  <c r="BT27" i="16"/>
  <c r="GK27" i="16" s="1"/>
  <c r="BA27" i="16"/>
  <c r="GJ27" i="16" s="1"/>
  <c r="AV27" i="16"/>
  <c r="GC27" i="16"/>
  <c r="GQ27" i="16" s="1"/>
  <c r="EY27" i="16"/>
  <c r="GO27" i="16" s="1"/>
  <c r="EB27" i="16"/>
  <c r="GN27" i="16" s="1"/>
  <c r="DS27" i="16"/>
  <c r="GM27" i="16" s="1"/>
  <c r="FN27" i="16"/>
  <c r="GP27" i="16" s="1"/>
  <c r="CR27" i="16"/>
  <c r="GL27" i="16" s="1"/>
  <c r="EU26" i="16"/>
  <c r="DO26" i="16"/>
  <c r="CL26" i="16"/>
  <c r="BQ26" i="16"/>
  <c r="AV26" i="16"/>
  <c r="EU25" i="16"/>
  <c r="DO25" i="16"/>
  <c r="CL25" i="16"/>
  <c r="AV25" i="16"/>
  <c r="HC24" i="16"/>
  <c r="IS24" i="16" s="1"/>
  <c r="IY24" i="16" s="1"/>
  <c r="HU24" i="16"/>
  <c r="IU24" i="16"/>
  <c r="IZ24" i="16" s="1"/>
  <c r="EU24" i="16"/>
  <c r="DO24" i="16"/>
  <c r="CL24" i="16"/>
  <c r="BQ24" i="16"/>
  <c r="CR24" i="16"/>
  <c r="GL24" i="16" s="1"/>
  <c r="FN24" i="16"/>
  <c r="GP24" i="16" s="1"/>
  <c r="EY24" i="16"/>
  <c r="GO24" i="16" s="1"/>
  <c r="BA24" i="16"/>
  <c r="GJ24" i="16" s="1"/>
  <c r="GC24" i="16"/>
  <c r="GQ24" i="16" s="1"/>
  <c r="DS24" i="16"/>
  <c r="GM24" i="16" s="1"/>
  <c r="BT24" i="16"/>
  <c r="GK24" i="16" s="1"/>
  <c r="EB24" i="16"/>
  <c r="GN24" i="16" s="1"/>
  <c r="AV24" i="16"/>
  <c r="HU23" i="16"/>
  <c r="HC23" i="16"/>
  <c r="IS23" i="16" s="1"/>
  <c r="IY23" i="16" s="1"/>
  <c r="IU23" i="16"/>
  <c r="IZ23" i="16" s="1"/>
  <c r="EU23" i="16"/>
  <c r="DO23" i="16"/>
  <c r="CL23" i="16"/>
  <c r="BQ23" i="16"/>
  <c r="EY23" i="16"/>
  <c r="GO23" i="16" s="1"/>
  <c r="CR23" i="16"/>
  <c r="GL23" i="16" s="1"/>
  <c r="GC23" i="16"/>
  <c r="GQ23" i="16" s="1"/>
  <c r="BA23" i="16"/>
  <c r="GJ23" i="16" s="1"/>
  <c r="FN23" i="16"/>
  <c r="GP23" i="16" s="1"/>
  <c r="EB23" i="16"/>
  <c r="GN23" i="16" s="1"/>
  <c r="BT23" i="16"/>
  <c r="GK23" i="16" s="1"/>
  <c r="AV23" i="16"/>
  <c r="DS23" i="16"/>
  <c r="GM23" i="16" s="1"/>
  <c r="EU22" i="16"/>
  <c r="DO22" i="16"/>
  <c r="CL22" i="16"/>
  <c r="BQ22" i="16"/>
  <c r="AT22" i="16"/>
  <c r="AV22" i="16" s="1"/>
  <c r="EU21" i="16"/>
  <c r="DO21" i="16"/>
  <c r="CL21" i="16"/>
  <c r="BQ21" i="16"/>
  <c r="AV21" i="16"/>
  <c r="EU20" i="16"/>
  <c r="DO20" i="16"/>
  <c r="CL20" i="16"/>
  <c r="BQ20" i="16"/>
  <c r="AV20" i="16"/>
  <c r="EU19" i="16"/>
  <c r="DO19" i="16"/>
  <c r="CL19" i="16"/>
  <c r="BQ19" i="16"/>
  <c r="AV19" i="16"/>
  <c r="IV18" i="16"/>
  <c r="IW18" i="16" s="1"/>
  <c r="EU18" i="16"/>
  <c r="DO18" i="16"/>
  <c r="CL18" i="16"/>
  <c r="BQ18" i="16"/>
  <c r="AV18" i="16"/>
  <c r="EU17" i="16"/>
  <c r="DO17" i="16"/>
  <c r="CL17" i="16"/>
  <c r="BQ17" i="16"/>
  <c r="AV17" i="16"/>
  <c r="EU16" i="16"/>
  <c r="DO16" i="16"/>
  <c r="CL16" i="16"/>
  <c r="BQ16" i="16"/>
  <c r="AV16" i="16"/>
  <c r="EU15" i="16"/>
  <c r="DO15" i="16"/>
  <c r="CL15" i="16"/>
  <c r="BQ15" i="16"/>
  <c r="AV15" i="16"/>
  <c r="EU14" i="16"/>
  <c r="DO14" i="16"/>
  <c r="CL14" i="16"/>
  <c r="BQ14" i="16"/>
  <c r="AV14" i="16"/>
  <c r="EU13" i="16"/>
  <c r="DO13" i="16"/>
  <c r="CL13" i="16"/>
  <c r="BQ13" i="16"/>
  <c r="AV13" i="16"/>
  <c r="EU12" i="16"/>
  <c r="DO12" i="16"/>
  <c r="CL12" i="16"/>
  <c r="BQ12" i="16"/>
  <c r="AV12" i="16"/>
  <c r="EU11" i="16"/>
  <c r="DO11" i="16"/>
  <c r="CL11" i="16"/>
  <c r="BQ11" i="16"/>
  <c r="AV11" i="16"/>
  <c r="EU10" i="16"/>
  <c r="DO10" i="16"/>
  <c r="CL10" i="16"/>
  <c r="BQ10" i="16"/>
  <c r="AV10" i="16"/>
  <c r="EU9" i="16"/>
  <c r="DO9" i="16"/>
  <c r="CL9" i="16"/>
  <c r="BQ9" i="16"/>
  <c r="AV9" i="16"/>
  <c r="IS8" i="16"/>
  <c r="IY8" i="16" s="1"/>
  <c r="EU8" i="16"/>
  <c r="DO8" i="16"/>
  <c r="CL8" i="16"/>
  <c r="CE8" i="16"/>
  <c r="CD8" i="16"/>
  <c r="BQ8" i="16"/>
  <c r="EB8" i="16"/>
  <c r="GN8" i="16" s="1"/>
  <c r="FN8" i="16"/>
  <c r="GP8" i="16" s="1"/>
  <c r="GC8" i="16"/>
  <c r="GQ8" i="16" s="1"/>
  <c r="BA8" i="16"/>
  <c r="GJ8" i="16" s="1"/>
  <c r="CR8" i="16"/>
  <c r="GL8" i="16" s="1"/>
  <c r="DS8" i="16"/>
  <c r="GM8" i="16" s="1"/>
  <c r="BT8" i="16"/>
  <c r="GK8" i="16" s="1"/>
  <c r="EY8" i="16"/>
  <c r="GO8" i="16" s="1"/>
  <c r="AT8" i="16"/>
  <c r="AV8" i="16" s="1"/>
  <c r="EU7" i="16"/>
  <c r="DO7" i="16"/>
  <c r="CL7" i="16"/>
  <c r="CE7" i="16"/>
  <c r="CD7" i="16"/>
  <c r="BQ7" i="16"/>
  <c r="AV7" i="16"/>
  <c r="EU6" i="16"/>
  <c r="DO6" i="16"/>
  <c r="CL6" i="16"/>
  <c r="CD6" i="16"/>
  <c r="CE6" i="16"/>
  <c r="BQ6" i="16"/>
  <c r="AV6" i="16"/>
  <c r="EU5" i="16"/>
  <c r="DO5" i="16"/>
  <c r="CL5" i="16"/>
  <c r="CD5" i="16"/>
  <c r="CE5" i="16"/>
  <c r="BQ5" i="16"/>
  <c r="AV5" i="16"/>
  <c r="IK4" i="16"/>
  <c r="IE4" i="16"/>
  <c r="HA28" i="16"/>
  <c r="EU4" i="16"/>
  <c r="DZ4" i="16"/>
  <c r="DO4" i="16"/>
  <c r="CL4" i="16"/>
  <c r="CD4" i="16"/>
  <c r="CE4" i="16"/>
  <c r="BQ4" i="16"/>
  <c r="AU28" i="16"/>
  <c r="AT4" i="16"/>
  <c r="AV4" i="16" s="1"/>
  <c r="P28" i="16"/>
  <c r="Q4" i="16"/>
  <c r="FM31" i="15"/>
  <c r="FJ37" i="15"/>
  <c r="FM37" i="15" s="1"/>
  <c r="F20" i="15" s="1"/>
  <c r="NK29" i="15"/>
  <c r="NL29" i="15" s="1"/>
  <c r="NM29" i="15" s="1"/>
  <c r="MZ34" i="15"/>
  <c r="NA29" i="15" s="1"/>
  <c r="N24" i="15"/>
  <c r="K17" i="15"/>
  <c r="JL27" i="15"/>
  <c r="JU26" i="15"/>
  <c r="AH13" i="15"/>
  <c r="K9" i="15"/>
  <c r="IS27" i="15"/>
  <c r="KT26" i="15"/>
  <c r="KU27" i="15" s="1"/>
  <c r="K8" i="15"/>
  <c r="IQ27" i="15"/>
  <c r="KY14" i="15"/>
  <c r="KU15" i="15"/>
  <c r="KW15" i="15"/>
  <c r="KY15" i="15"/>
  <c r="KU16" i="15"/>
  <c r="KY11" i="15"/>
  <c r="KY18" i="15"/>
  <c r="KW18" i="15"/>
  <c r="KU18" i="15"/>
  <c r="KU10" i="15"/>
  <c r="KY10" i="15"/>
  <c r="KU17" i="15"/>
  <c r="KW17" i="15"/>
  <c r="KY17" i="15"/>
  <c r="KY8" i="15"/>
  <c r="KW8" i="15"/>
  <c r="KU8" i="15"/>
  <c r="KY7" i="15"/>
  <c r="KW7" i="15"/>
  <c r="KU7" i="15"/>
  <c r="KY6" i="15"/>
  <c r="KW6" i="15"/>
  <c r="KU6" i="15"/>
  <c r="KW16" i="15"/>
  <c r="KY24" i="15"/>
  <c r="KW24" i="15"/>
  <c r="KU24" i="15"/>
  <c r="K24" i="15"/>
  <c r="L11" i="15" s="1"/>
  <c r="KU9" i="15"/>
  <c r="KY23" i="15"/>
  <c r="KW23" i="15"/>
  <c r="KU23" i="15"/>
  <c r="KY22" i="15"/>
  <c r="KW22" i="15"/>
  <c r="KU22" i="15"/>
  <c r="KW10" i="15"/>
  <c r="KW9" i="15"/>
  <c r="KY21" i="15"/>
  <c r="KW21" i="15"/>
  <c r="KU21" i="15"/>
  <c r="KY9" i="15"/>
  <c r="KU11" i="15"/>
  <c r="KW11" i="15"/>
  <c r="KY20" i="15"/>
  <c r="KW20" i="15"/>
  <c r="KU20" i="15"/>
  <c r="KU12" i="15"/>
  <c r="KW12" i="15"/>
  <c r="KY12" i="15"/>
  <c r="KU13" i="15"/>
  <c r="KW13" i="15"/>
  <c r="KY13" i="15"/>
  <c r="KU14" i="15"/>
  <c r="KY19" i="15"/>
  <c r="ID26" i="15"/>
  <c r="KW19" i="15"/>
  <c r="KU19" i="15"/>
  <c r="KW14" i="15"/>
  <c r="KY16" i="15"/>
  <c r="H25" i="15"/>
  <c r="F25" i="15"/>
  <c r="CC23" i="15" s="1"/>
  <c r="CF23" i="15" s="1"/>
  <c r="CG23" i="15" s="1"/>
  <c r="KE26" i="15"/>
  <c r="KH26" i="15" s="1"/>
  <c r="KF25" i="15" s="1"/>
  <c r="KH25" i="15" s="1"/>
  <c r="LH26" i="15" s="1"/>
  <c r="LR26" i="15" s="1"/>
  <c r="KC26" i="15"/>
  <c r="K25" i="15" s="1"/>
  <c r="KD25" i="15"/>
  <c r="KG25" i="15" s="1"/>
  <c r="LG26" i="15" s="1"/>
  <c r="JN25" i="15"/>
  <c r="IM25" i="15"/>
  <c r="IO25" i="15" s="1"/>
  <c r="JD25" i="15"/>
  <c r="IM24" i="15"/>
  <c r="IO24" i="15" s="1"/>
  <c r="JD24" i="15"/>
  <c r="JD23" i="15"/>
  <c r="IM23" i="15"/>
  <c r="IO23" i="15" s="1"/>
  <c r="IM22" i="15"/>
  <c r="IO22" i="15" s="1"/>
  <c r="JD22" i="15"/>
  <c r="IM21" i="15"/>
  <c r="IO21" i="15" s="1"/>
  <c r="JD21" i="15"/>
  <c r="JD20" i="15"/>
  <c r="IM20" i="15"/>
  <c r="IO20" i="15" s="1"/>
  <c r="I20" i="15"/>
  <c r="J20" i="15"/>
  <c r="IM19" i="15"/>
  <c r="IO19" i="15" s="1"/>
  <c r="JD19" i="15"/>
  <c r="J19" i="15"/>
  <c r="I19" i="15"/>
  <c r="JD18" i="15"/>
  <c r="IM18" i="15"/>
  <c r="IO18" i="15" s="1"/>
  <c r="IM17" i="15"/>
  <c r="IO17" i="15" s="1"/>
  <c r="JD17" i="15"/>
  <c r="J17" i="15"/>
  <c r="I17" i="15"/>
  <c r="IM16" i="15"/>
  <c r="IO16" i="15" s="1"/>
  <c r="JD16" i="15"/>
  <c r="JD15" i="15"/>
  <c r="IM15" i="15"/>
  <c r="IO15" i="15" s="1"/>
  <c r="JD14" i="15"/>
  <c r="IM14" i="15"/>
  <c r="IO14" i="15" s="1"/>
  <c r="JD13" i="15"/>
  <c r="IM13" i="15"/>
  <c r="IO13" i="15" s="1"/>
  <c r="IM12" i="15"/>
  <c r="IO12" i="15" s="1"/>
  <c r="JD12" i="15"/>
  <c r="HE12" i="15"/>
  <c r="HE14" i="15" s="1"/>
  <c r="H10" i="15" s="1"/>
  <c r="HB14" i="15"/>
  <c r="HA12" i="15"/>
  <c r="HA14" i="15" s="1"/>
  <c r="F10" i="15" s="1"/>
  <c r="GX14" i="15"/>
  <c r="G17" i="15"/>
  <c r="CD16" i="15" s="1"/>
  <c r="CE16" i="15" s="1"/>
  <c r="CC16" i="15"/>
  <c r="CF16" i="15" s="1"/>
  <c r="CG16" i="15" s="1"/>
  <c r="NK11" i="15"/>
  <c r="NL11" i="15" s="1"/>
  <c r="NM11" i="15" s="1"/>
  <c r="JD11" i="15"/>
  <c r="IM11" i="15"/>
  <c r="IO11" i="15" s="1"/>
  <c r="AJ12" i="15"/>
  <c r="AI12" i="15"/>
  <c r="AH12" i="15"/>
  <c r="P11" i="15"/>
  <c r="O11" i="15"/>
  <c r="Q11" i="15"/>
  <c r="JD10" i="15"/>
  <c r="IM10" i="15"/>
  <c r="IO10" i="15" s="1"/>
  <c r="AA12" i="15"/>
  <c r="AA11" i="15"/>
  <c r="IM9" i="15"/>
  <c r="IO9" i="15" s="1"/>
  <c r="JD9" i="15"/>
  <c r="I16" i="15"/>
  <c r="J16" i="15"/>
  <c r="G16" i="15"/>
  <c r="CD15" i="15" s="1"/>
  <c r="CE15" i="15" s="1"/>
  <c r="AJ9" i="15"/>
  <c r="CC15" i="15"/>
  <c r="CF15" i="15" s="1"/>
  <c r="CG15" i="15" s="1"/>
  <c r="I15" i="15"/>
  <c r="J15" i="15"/>
  <c r="G15" i="15"/>
  <c r="CD14" i="15" s="1"/>
  <c r="CE14" i="15" s="1"/>
  <c r="AI9" i="15"/>
  <c r="CC14" i="15"/>
  <c r="CF14" i="15" s="1"/>
  <c r="CG14" i="15" s="1"/>
  <c r="P9" i="15"/>
  <c r="O9" i="15"/>
  <c r="MZ9" i="15"/>
  <c r="IM8" i="15"/>
  <c r="IO8" i="15" s="1"/>
  <c r="JD8" i="15"/>
  <c r="Q8" i="15"/>
  <c r="P8" i="15"/>
  <c r="O8" i="15"/>
  <c r="MZ8" i="15"/>
  <c r="J8" i="15"/>
  <c r="I8" i="15"/>
  <c r="G8" i="15"/>
  <c r="CD8" i="15" s="1"/>
  <c r="CE8" i="15" s="1"/>
  <c r="CC8" i="15"/>
  <c r="CF8" i="15" s="1"/>
  <c r="CG8" i="15" s="1"/>
  <c r="JD7" i="15"/>
  <c r="IM7" i="15"/>
  <c r="IO7" i="15" s="1"/>
  <c r="O7" i="15"/>
  <c r="MZ7" i="15"/>
  <c r="KG6" i="15"/>
  <c r="LG7" i="15" s="1"/>
  <c r="LP7" i="15" s="1"/>
  <c r="KD26" i="15"/>
  <c r="ML6" i="15"/>
  <c r="MF26" i="15"/>
  <c r="ML26" i="15" s="1"/>
  <c r="JD6" i="15"/>
  <c r="IM6" i="15"/>
  <c r="IO6" i="15" s="1"/>
  <c r="LN7" i="15"/>
  <c r="JJ26" i="15"/>
  <c r="I11" i="15"/>
  <c r="X11" i="15"/>
  <c r="Y11" i="15"/>
  <c r="Z11" i="15"/>
  <c r="X8" i="15"/>
  <c r="Y8" i="15"/>
  <c r="Z8" i="15"/>
  <c r="G11" i="15"/>
  <c r="CC22" i="15"/>
  <c r="CF22" i="15" s="1"/>
  <c r="CG22" i="15" s="1"/>
  <c r="I10" i="15"/>
  <c r="J10" i="15"/>
  <c r="H7" i="15"/>
  <c r="G10" i="15"/>
  <c r="CD10" i="15" s="1"/>
  <c r="CE10" i="15" s="1"/>
  <c r="CC10" i="15"/>
  <c r="CF10" i="15" s="1"/>
  <c r="CG10" i="15" s="1"/>
  <c r="F7" i="15"/>
  <c r="Q7" i="15" s="1"/>
  <c r="EZ9" i="15"/>
  <c r="I18" i="15"/>
  <c r="J18" i="15"/>
  <c r="G18" i="15"/>
  <c r="CD17" i="15" s="1"/>
  <c r="CE17" i="15" s="1"/>
  <c r="CC17" i="15"/>
  <c r="CF17" i="15" s="1"/>
  <c r="CG17" i="15" s="1"/>
  <c r="I14" i="15"/>
  <c r="J14" i="15"/>
  <c r="H21" i="15"/>
  <c r="G14" i="15"/>
  <c r="CD13" i="15" s="1"/>
  <c r="CE13" i="15" s="1"/>
  <c r="F21" i="15"/>
  <c r="AH9" i="15"/>
  <c r="CC13" i="15"/>
  <c r="CF13" i="15" s="1"/>
  <c r="CG13" i="15" s="1"/>
  <c r="LP4" i="15"/>
  <c r="LR4" i="15"/>
  <c r="JI4" i="15"/>
  <c r="JK4" i="15" s="1"/>
  <c r="JG4" i="15"/>
  <c r="DL3" i="15"/>
  <c r="DW3" i="15"/>
  <c r="EJ3" i="15" s="1"/>
  <c r="DJ3" i="15"/>
  <c r="DS3" i="15"/>
  <c r="EF3" i="15" s="1"/>
  <c r="AJ8" i="15"/>
  <c r="HD14" i="15"/>
  <c r="AI8" i="15"/>
  <c r="ML22" i="15"/>
  <c r="GY14" i="15"/>
  <c r="AH8" i="15"/>
  <c r="GZ14" i="15"/>
  <c r="HC14" i="15"/>
  <c r="AA8" i="15"/>
  <c r="JJ28" i="14"/>
  <c r="JW27" i="14" s="1"/>
  <c r="IT28" i="14"/>
  <c r="N17" i="14"/>
  <c r="N13" i="14"/>
  <c r="DO13" i="14" s="1"/>
  <c r="KF26" i="13"/>
  <c r="N12" i="14"/>
  <c r="N23" i="14"/>
  <c r="N18" i="14"/>
  <c r="HC27" i="14"/>
  <c r="IS27" i="14" s="1"/>
  <c r="IY27" i="14" s="1"/>
  <c r="HU27" i="14"/>
  <c r="IU27" i="14"/>
  <c r="IZ27" i="14" s="1"/>
  <c r="EU27" i="14"/>
  <c r="DO27" i="14"/>
  <c r="BQ27" i="14"/>
  <c r="AV27" i="14"/>
  <c r="FN27" i="14"/>
  <c r="DS27" i="14"/>
  <c r="GM27" i="14" s="1"/>
  <c r="CR27" i="14"/>
  <c r="GL27" i="14" s="1"/>
  <c r="BT27" i="14"/>
  <c r="GK27" i="14" s="1"/>
  <c r="BA27" i="14"/>
  <c r="GJ27" i="14" s="1"/>
  <c r="EB27" i="14"/>
  <c r="GC27" i="14"/>
  <c r="GQ27" i="14" s="1"/>
  <c r="EY27" i="14"/>
  <c r="GO27" i="14" s="1"/>
  <c r="EU26" i="14"/>
  <c r="DO26" i="14"/>
  <c r="CL26" i="14"/>
  <c r="BQ26" i="14"/>
  <c r="AV26" i="14"/>
  <c r="EU25" i="14"/>
  <c r="DO25" i="14"/>
  <c r="CL25" i="14"/>
  <c r="BQ25" i="14"/>
  <c r="AV25" i="14"/>
  <c r="HC24" i="14"/>
  <c r="IS24" i="14" s="1"/>
  <c r="IY24" i="14" s="1"/>
  <c r="HU24" i="14"/>
  <c r="IU24" i="14"/>
  <c r="IZ24" i="14" s="1"/>
  <c r="EU24" i="14"/>
  <c r="DO24" i="14"/>
  <c r="CL24" i="14"/>
  <c r="GC24" i="14"/>
  <c r="GQ24" i="14" s="1"/>
  <c r="EY24" i="14"/>
  <c r="GO24" i="14" s="1"/>
  <c r="DS24" i="14"/>
  <c r="GM24" i="14" s="1"/>
  <c r="EB24" i="14"/>
  <c r="BT24" i="14"/>
  <c r="GK24" i="14" s="1"/>
  <c r="BA24" i="14"/>
  <c r="GJ24" i="14" s="1"/>
  <c r="AV24" i="14"/>
  <c r="FN24" i="14"/>
  <c r="GP24" i="14" s="1"/>
  <c r="CR24" i="14"/>
  <c r="GL24" i="14" s="1"/>
  <c r="HC23" i="14"/>
  <c r="IS23" i="14" s="1"/>
  <c r="IY23" i="14" s="1"/>
  <c r="HU23" i="14"/>
  <c r="IU23" i="14"/>
  <c r="IZ23" i="14" s="1"/>
  <c r="EU23" i="14"/>
  <c r="DO23" i="14"/>
  <c r="CL23" i="14"/>
  <c r="BQ23" i="14"/>
  <c r="BT23" i="14"/>
  <c r="GK23" i="14" s="1"/>
  <c r="CR23" i="14"/>
  <c r="GL23" i="14" s="1"/>
  <c r="DS23" i="14"/>
  <c r="GM23" i="14" s="1"/>
  <c r="EB23" i="14"/>
  <c r="EY23" i="14"/>
  <c r="GO23" i="14" s="1"/>
  <c r="FN23" i="14"/>
  <c r="GP23" i="14" s="1"/>
  <c r="GC23" i="14"/>
  <c r="GQ23" i="14" s="1"/>
  <c r="BA23" i="14"/>
  <c r="GJ23" i="14" s="1"/>
  <c r="AV23" i="14"/>
  <c r="EU22" i="14"/>
  <c r="DO22" i="14"/>
  <c r="CL22" i="14"/>
  <c r="BQ22" i="14"/>
  <c r="AV22" i="14"/>
  <c r="EU21" i="14"/>
  <c r="DO21" i="14"/>
  <c r="CL21" i="14"/>
  <c r="BQ21" i="14"/>
  <c r="AV21" i="14"/>
  <c r="IV20" i="14"/>
  <c r="IW20" i="14" s="1"/>
  <c r="EU20" i="14"/>
  <c r="DO20" i="14"/>
  <c r="CL20" i="14"/>
  <c r="BQ20" i="14"/>
  <c r="AV20" i="14"/>
  <c r="IW19" i="14"/>
  <c r="IV19" i="14"/>
  <c r="EU19" i="14"/>
  <c r="DO19" i="14"/>
  <c r="CL19" i="14"/>
  <c r="BQ19" i="14"/>
  <c r="AV19" i="14"/>
  <c r="DX18" i="14"/>
  <c r="EU18" i="14"/>
  <c r="DO18" i="14"/>
  <c r="CL18" i="14"/>
  <c r="BQ18" i="14"/>
  <c r="AV18" i="14"/>
  <c r="EU17" i="14"/>
  <c r="DO17" i="14"/>
  <c r="CL17" i="14"/>
  <c r="BQ17" i="14"/>
  <c r="AV17" i="14"/>
  <c r="IV16" i="14"/>
  <c r="IW16" i="14"/>
  <c r="EU16" i="14"/>
  <c r="DO16" i="14"/>
  <c r="CL16" i="14"/>
  <c r="BQ16" i="14"/>
  <c r="AV16" i="14"/>
  <c r="EU15" i="14"/>
  <c r="DO15" i="14"/>
  <c r="CL15" i="14"/>
  <c r="BQ15" i="14"/>
  <c r="AV15" i="14"/>
  <c r="EU14" i="14"/>
  <c r="DO14" i="14"/>
  <c r="CL14" i="14"/>
  <c r="BQ14" i="14"/>
  <c r="AV14" i="14"/>
  <c r="EU13" i="14"/>
  <c r="CL13" i="14"/>
  <c r="BQ13" i="14"/>
  <c r="AV13" i="14"/>
  <c r="EU12" i="14"/>
  <c r="DO12" i="14"/>
  <c r="CL12" i="14"/>
  <c r="BQ12" i="14"/>
  <c r="AV12" i="14"/>
  <c r="EU11" i="14"/>
  <c r="DO11" i="14"/>
  <c r="CL11" i="14"/>
  <c r="BQ11" i="14"/>
  <c r="AV11" i="14"/>
  <c r="EU10" i="14"/>
  <c r="DO10" i="14"/>
  <c r="CL10" i="14"/>
  <c r="BQ10" i="14"/>
  <c r="AV10" i="14"/>
  <c r="EU9" i="14"/>
  <c r="DO9" i="14"/>
  <c r="CL9" i="14"/>
  <c r="BQ9" i="14"/>
  <c r="AV9" i="14"/>
  <c r="IS8" i="14"/>
  <c r="IY8" i="14" s="1"/>
  <c r="EU8" i="14"/>
  <c r="DO8" i="14"/>
  <c r="CL8" i="14"/>
  <c r="CE8" i="14"/>
  <c r="CD8" i="14"/>
  <c r="BQ8" i="14"/>
  <c r="GC8" i="14"/>
  <c r="GQ8" i="14" s="1"/>
  <c r="FN8" i="14"/>
  <c r="GP8" i="14" s="1"/>
  <c r="EY8" i="14"/>
  <c r="GO8" i="14" s="1"/>
  <c r="BT8" i="14"/>
  <c r="GK8" i="14" s="1"/>
  <c r="CR8" i="14"/>
  <c r="GL8" i="14" s="1"/>
  <c r="DS8" i="14"/>
  <c r="GM8" i="14" s="1"/>
  <c r="EB8" i="14"/>
  <c r="GN8" i="14" s="1"/>
  <c r="BA8" i="14"/>
  <c r="GJ8" i="14" s="1"/>
  <c r="AV8" i="14"/>
  <c r="EU7" i="14"/>
  <c r="DO7" i="14"/>
  <c r="CL7" i="14"/>
  <c r="CD7" i="14"/>
  <c r="CE7" i="14"/>
  <c r="BQ7" i="14"/>
  <c r="AV7" i="14"/>
  <c r="EU6" i="14"/>
  <c r="CD6" i="14"/>
  <c r="CE6" i="14"/>
  <c r="BQ6" i="14"/>
  <c r="EU5" i="14"/>
  <c r="DO5" i="14"/>
  <c r="CL5" i="14"/>
  <c r="CE5" i="14"/>
  <c r="CD5" i="14"/>
  <c r="BQ5" i="14"/>
  <c r="IK4" i="14"/>
  <c r="IE4" i="14"/>
  <c r="HA28" i="14"/>
  <c r="GP27" i="14"/>
  <c r="EU4" i="14"/>
  <c r="DO4" i="14"/>
  <c r="CL4" i="14"/>
  <c r="CE4" i="14"/>
  <c r="CE9" i="14" s="1"/>
  <c r="CO28" i="14" s="1"/>
  <c r="CD4" i="14"/>
  <c r="CD9" i="14" s="1"/>
  <c r="CM28" i="14" s="1"/>
  <c r="BQ4" i="14"/>
  <c r="AV4" i="14"/>
  <c r="AU28" i="14"/>
  <c r="Q4" i="14"/>
  <c r="P28" i="14"/>
  <c r="FM31" i="13"/>
  <c r="FJ36" i="13"/>
  <c r="FM36" i="13" s="1"/>
  <c r="F20" i="13" s="1"/>
  <c r="NK29" i="13"/>
  <c r="NL29" i="13" s="1"/>
  <c r="NM29" i="13" s="1"/>
  <c r="KT26" i="13"/>
  <c r="KU27" i="13" s="1"/>
  <c r="IQ27" i="13"/>
  <c r="ID26" i="13"/>
  <c r="KU20" i="13"/>
  <c r="KW20" i="13"/>
  <c r="KY20" i="13"/>
  <c r="IM25" i="13"/>
  <c r="IO25" i="13" s="1"/>
  <c r="JD25" i="13"/>
  <c r="JN25" i="13"/>
  <c r="IM24" i="13"/>
  <c r="IO24" i="13" s="1"/>
  <c r="JD24" i="13"/>
  <c r="JD23" i="13"/>
  <c r="IM23" i="13"/>
  <c r="IO23" i="13" s="1"/>
  <c r="IM22" i="13"/>
  <c r="IO22" i="13" s="1"/>
  <c r="JD22" i="13"/>
  <c r="JD21" i="13"/>
  <c r="IM21" i="13"/>
  <c r="IO21" i="13" s="1"/>
  <c r="JD20" i="13"/>
  <c r="IM20" i="13"/>
  <c r="IO20" i="13" s="1"/>
  <c r="I20" i="13"/>
  <c r="JD19" i="13"/>
  <c r="IM19" i="13"/>
  <c r="IO19" i="13" s="1"/>
  <c r="JD18" i="13"/>
  <c r="IM18" i="13"/>
  <c r="IO18" i="13" s="1"/>
  <c r="JD17" i="13"/>
  <c r="IM17" i="13"/>
  <c r="IO17" i="13" s="1"/>
  <c r="M17" i="13"/>
  <c r="L17" i="13"/>
  <c r="JD16" i="13"/>
  <c r="IM16" i="13"/>
  <c r="IO16" i="13" s="1"/>
  <c r="IM15" i="13"/>
  <c r="IO15" i="13" s="1"/>
  <c r="JD15" i="13"/>
  <c r="JD14" i="13"/>
  <c r="IM14" i="13"/>
  <c r="IO14" i="13" s="1"/>
  <c r="IM13" i="13"/>
  <c r="IO13" i="13" s="1"/>
  <c r="JD13" i="13"/>
  <c r="IM12" i="13"/>
  <c r="IO12" i="13" s="1"/>
  <c r="JD12" i="13"/>
  <c r="HE12" i="13"/>
  <c r="HE14" i="13" s="1"/>
  <c r="H10" i="13" s="1"/>
  <c r="HB14" i="13"/>
  <c r="HA12" i="13"/>
  <c r="HA14" i="13" s="1"/>
  <c r="F10" i="13" s="1"/>
  <c r="GX14" i="13"/>
  <c r="I17" i="13"/>
  <c r="J17" i="13"/>
  <c r="G17" i="13"/>
  <c r="CD16" i="13" s="1"/>
  <c r="CE16" i="13" s="1"/>
  <c r="CC16" i="13"/>
  <c r="CF16" i="13" s="1"/>
  <c r="CG16" i="13" s="1"/>
  <c r="NK11" i="13"/>
  <c r="NL11" i="13" s="1"/>
  <c r="NM11" i="13" s="1"/>
  <c r="NC29" i="13"/>
  <c r="JD11" i="13"/>
  <c r="IM11" i="13"/>
  <c r="IO11" i="13" s="1"/>
  <c r="AJ13" i="13"/>
  <c r="AJ12" i="13"/>
  <c r="AI12" i="13"/>
  <c r="AI13" i="13"/>
  <c r="AH12" i="13"/>
  <c r="AH13" i="13"/>
  <c r="Q11" i="13"/>
  <c r="P11" i="13"/>
  <c r="IM10" i="13"/>
  <c r="IO10" i="13" s="1"/>
  <c r="JD10" i="13"/>
  <c r="JD9" i="13"/>
  <c r="IM9" i="13"/>
  <c r="IO9" i="13" s="1"/>
  <c r="I19" i="13"/>
  <c r="J19" i="13"/>
  <c r="J16" i="13"/>
  <c r="I16" i="13"/>
  <c r="CC15" i="13"/>
  <c r="CF15" i="13" s="1"/>
  <c r="CG15" i="13" s="1"/>
  <c r="G16" i="13"/>
  <c r="CD15" i="13" s="1"/>
  <c r="CE15" i="13" s="1"/>
  <c r="AJ9" i="13"/>
  <c r="J15" i="13"/>
  <c r="I15" i="13"/>
  <c r="G15" i="13"/>
  <c r="CD14" i="13" s="1"/>
  <c r="CE14" i="13" s="1"/>
  <c r="AI9" i="13"/>
  <c r="CC14" i="13"/>
  <c r="CF14" i="13" s="1"/>
  <c r="CG14" i="13" s="1"/>
  <c r="P9" i="13"/>
  <c r="MZ9" i="13"/>
  <c r="L9" i="13"/>
  <c r="IM8" i="13"/>
  <c r="IO8" i="13" s="1"/>
  <c r="JD8" i="13"/>
  <c r="P8" i="13"/>
  <c r="Q8" i="13"/>
  <c r="MZ8" i="13"/>
  <c r="L8" i="13"/>
  <c r="M8" i="13"/>
  <c r="J8" i="13"/>
  <c r="I8" i="13"/>
  <c r="G8" i="13"/>
  <c r="CD8" i="13" s="1"/>
  <c r="CE8" i="13" s="1"/>
  <c r="CC8" i="13"/>
  <c r="CF8" i="13" s="1"/>
  <c r="CG8" i="13" s="1"/>
  <c r="IM7" i="13"/>
  <c r="IO7" i="13" s="1"/>
  <c r="JD7" i="13"/>
  <c r="AA12" i="13"/>
  <c r="AA8" i="13"/>
  <c r="P7" i="13"/>
  <c r="MZ7" i="13"/>
  <c r="L7" i="13"/>
  <c r="KE26" i="13"/>
  <c r="KC26" i="13"/>
  <c r="K25" i="13" s="1"/>
  <c r="KD6" i="13"/>
  <c r="ML6" i="13"/>
  <c r="MF26" i="13"/>
  <c r="ML26" i="13" s="1"/>
  <c r="IM6" i="13"/>
  <c r="IO6" i="13" s="1"/>
  <c r="JD6" i="13"/>
  <c r="JJ26" i="13"/>
  <c r="I11" i="13"/>
  <c r="X11" i="13"/>
  <c r="Z11" i="13"/>
  <c r="Y11" i="13"/>
  <c r="AA11" i="13"/>
  <c r="G11" i="13"/>
  <c r="X8" i="13"/>
  <c r="Y8" i="13"/>
  <c r="Z8" i="13"/>
  <c r="CC22" i="13"/>
  <c r="CF22" i="13" s="1"/>
  <c r="CG22" i="13" s="1"/>
  <c r="I10" i="13"/>
  <c r="J10" i="13"/>
  <c r="H7" i="13"/>
  <c r="M7" i="13" s="1"/>
  <c r="G10" i="13"/>
  <c r="CD10" i="13" s="1"/>
  <c r="CE10" i="13" s="1"/>
  <c r="CC10" i="13"/>
  <c r="CF10" i="13" s="1"/>
  <c r="CG10" i="13" s="1"/>
  <c r="F7" i="13"/>
  <c r="Q7" i="13" s="1"/>
  <c r="EZ9" i="13"/>
  <c r="I18" i="13"/>
  <c r="J18" i="13"/>
  <c r="G18" i="13"/>
  <c r="CD17" i="13" s="1"/>
  <c r="CE17" i="13" s="1"/>
  <c r="CC17" i="13"/>
  <c r="CF17" i="13" s="1"/>
  <c r="CG17" i="13" s="1"/>
  <c r="I14" i="13"/>
  <c r="J14" i="13"/>
  <c r="H21" i="13"/>
  <c r="G14" i="13"/>
  <c r="CD13" i="13" s="1"/>
  <c r="CE13" i="13" s="1"/>
  <c r="AH9" i="13"/>
  <c r="CC13" i="13"/>
  <c r="CF13" i="13" s="1"/>
  <c r="CG13" i="13" s="1"/>
  <c r="LR4" i="13"/>
  <c r="LP4" i="13"/>
  <c r="JG4" i="13"/>
  <c r="JI4" i="13"/>
  <c r="JK4" i="13" s="1"/>
  <c r="DL3" i="13"/>
  <c r="DW3" i="13"/>
  <c r="EJ3" i="13" s="1"/>
  <c r="DS3" i="13"/>
  <c r="EF3" i="13" s="1"/>
  <c r="DJ3" i="13"/>
  <c r="GY14" i="13"/>
  <c r="LN8" i="13"/>
  <c r="JB8" i="14"/>
  <c r="ML24" i="13"/>
  <c r="HD14" i="13"/>
  <c r="AJ8" i="13"/>
  <c r="AH8" i="13"/>
  <c r="GZ14" i="13"/>
  <c r="AI8" i="13"/>
  <c r="HC14" i="13"/>
  <c r="HA28" i="8"/>
  <c r="P28" i="8"/>
  <c r="Q4" i="8" s="1"/>
  <c r="N27" i="8"/>
  <c r="N26" i="8"/>
  <c r="N25" i="8"/>
  <c r="N24" i="8"/>
  <c r="N23" i="8"/>
  <c r="N22" i="8"/>
  <c r="N21" i="8"/>
  <c r="N20" i="8"/>
  <c r="N19" i="8"/>
  <c r="N18" i="8"/>
  <c r="N17" i="8"/>
  <c r="N16" i="8"/>
  <c r="N15" i="8"/>
  <c r="N14" i="8"/>
  <c r="N13" i="8"/>
  <c r="N12" i="8"/>
  <c r="N11" i="8"/>
  <c r="N10" i="8"/>
  <c r="N9" i="8"/>
  <c r="N8" i="8"/>
  <c r="N7" i="8"/>
  <c r="N6" i="8"/>
  <c r="N5" i="8"/>
  <c r="N4" i="8"/>
  <c r="IW27" i="8"/>
  <c r="IW24" i="8"/>
  <c r="IW23" i="8"/>
  <c r="IW17" i="8"/>
  <c r="IW15" i="8"/>
  <c r="IT28" i="8"/>
  <c r="KF26" i="5"/>
  <c r="ID4" i="8"/>
  <c r="JJ28" i="8"/>
  <c r="JW27" i="8" s="1"/>
  <c r="JW3" i="8"/>
  <c r="AV28" i="8"/>
  <c r="AW5" i="8" s="1"/>
  <c r="FN27" i="8"/>
  <c r="GP27" i="8" s="1"/>
  <c r="JA27" i="20" l="1"/>
  <c r="JB27" i="20" s="1"/>
  <c r="JK27" i="20"/>
  <c r="JU26" i="20" s="1"/>
  <c r="JB24" i="20"/>
  <c r="JK24" i="20"/>
  <c r="JU23" i="20" s="1"/>
  <c r="JK23" i="20"/>
  <c r="JU22" i="20" s="1"/>
  <c r="JA23" i="20"/>
  <c r="JB23" i="20" s="1"/>
  <c r="EU28" i="20"/>
  <c r="DO28" i="20"/>
  <c r="CL28" i="20"/>
  <c r="BQ28" i="20"/>
  <c r="AV28" i="20"/>
  <c r="AW4" i="20" s="1"/>
  <c r="Q6" i="20"/>
  <c r="Q10" i="20"/>
  <c r="Q7" i="20"/>
  <c r="Q14" i="20"/>
  <c r="Q18" i="20"/>
  <c r="Q23" i="20"/>
  <c r="Q27" i="20"/>
  <c r="Q11" i="20"/>
  <c r="Q15" i="20"/>
  <c r="Q16" i="20"/>
  <c r="Q19" i="20"/>
  <c r="Q20" i="20"/>
  <c r="Q5" i="20"/>
  <c r="Q9" i="20"/>
  <c r="Q12" i="20"/>
  <c r="Q13" i="20"/>
  <c r="Q21" i="20"/>
  <c r="Q22" i="20"/>
  <c r="Q26" i="20"/>
  <c r="Q8" i="20"/>
  <c r="Q17" i="20"/>
  <c r="Q24" i="20"/>
  <c r="Q25" i="20"/>
  <c r="ND29" i="19"/>
  <c r="ND27" i="19"/>
  <c r="ND26" i="19"/>
  <c r="ND34" i="19"/>
  <c r="NK34" i="19"/>
  <c r="NL34" i="19" s="1"/>
  <c r="NM34" i="19" s="1"/>
  <c r="NA23" i="19"/>
  <c r="NA11" i="19"/>
  <c r="NA26" i="19"/>
  <c r="NA27" i="19"/>
  <c r="NA31" i="19"/>
  <c r="KF15" i="19"/>
  <c r="KH15" i="19" s="1"/>
  <c r="LH16" i="19" s="1"/>
  <c r="KF21" i="19"/>
  <c r="KH21" i="19" s="1"/>
  <c r="LH22" i="19" s="1"/>
  <c r="KF20" i="19"/>
  <c r="KH20" i="19" s="1"/>
  <c r="LH21" i="19" s="1"/>
  <c r="KF24" i="19"/>
  <c r="KH24" i="19" s="1"/>
  <c r="LH25" i="19" s="1"/>
  <c r="KF22" i="19"/>
  <c r="KH22" i="19" s="1"/>
  <c r="LH23" i="19" s="1"/>
  <c r="KF17" i="19"/>
  <c r="KH17" i="19" s="1"/>
  <c r="LH18" i="19" s="1"/>
  <c r="KF23" i="19"/>
  <c r="KH23" i="19" s="1"/>
  <c r="LH24" i="19" s="1"/>
  <c r="KF25" i="19"/>
  <c r="KH25" i="19" s="1"/>
  <c r="LH26" i="19" s="1"/>
  <c r="LR26" i="19" s="1"/>
  <c r="KF14" i="19"/>
  <c r="KH14" i="19" s="1"/>
  <c r="LH15" i="19" s="1"/>
  <c r="KF16" i="19"/>
  <c r="KH16" i="19" s="1"/>
  <c r="LH17" i="19" s="1"/>
  <c r="KF18" i="19"/>
  <c r="KH18" i="19" s="1"/>
  <c r="LH19" i="19" s="1"/>
  <c r="KF6" i="19"/>
  <c r="KH6" i="19" s="1"/>
  <c r="LH7" i="19" s="1"/>
  <c r="KF7" i="19"/>
  <c r="KH7" i="19" s="1"/>
  <c r="LH8" i="19" s="1"/>
  <c r="KF8" i="19"/>
  <c r="KH8" i="19" s="1"/>
  <c r="LH9" i="19" s="1"/>
  <c r="KF9" i="19"/>
  <c r="KH9" i="19" s="1"/>
  <c r="LH10" i="19" s="1"/>
  <c r="KF10" i="19"/>
  <c r="KH10" i="19" s="1"/>
  <c r="LH11" i="19" s="1"/>
  <c r="KF11" i="19"/>
  <c r="KH11" i="19" s="1"/>
  <c r="LH12" i="19" s="1"/>
  <c r="KF12" i="19"/>
  <c r="KH12" i="19" s="1"/>
  <c r="LH13" i="19" s="1"/>
  <c r="KF19" i="19"/>
  <c r="KH19" i="19" s="1"/>
  <c r="LH20" i="19" s="1"/>
  <c r="LH27" i="19"/>
  <c r="L17" i="19"/>
  <c r="M17" i="19"/>
  <c r="L9" i="19"/>
  <c r="L8" i="19"/>
  <c r="M8" i="19"/>
  <c r="K7" i="19"/>
  <c r="IM26" i="19"/>
  <c r="JD26" i="19"/>
  <c r="JF25" i="19"/>
  <c r="JH25" i="19"/>
  <c r="JP25" i="19"/>
  <c r="JR25" i="19"/>
  <c r="JT25" i="19"/>
  <c r="IW25" i="19"/>
  <c r="MG25" i="19" s="1"/>
  <c r="KR25" i="19"/>
  <c r="KR24" i="19"/>
  <c r="IW24" i="19"/>
  <c r="MG24" i="19" s="1"/>
  <c r="JH24" i="19"/>
  <c r="JN24" i="19"/>
  <c r="JR24" i="19"/>
  <c r="JF24" i="19"/>
  <c r="JP24" i="19"/>
  <c r="JT24" i="19"/>
  <c r="G20" i="19"/>
  <c r="CD18" i="19" s="1"/>
  <c r="CE18" i="19" s="1"/>
  <c r="CC18" i="19"/>
  <c r="CF18" i="19" s="1"/>
  <c r="CG18" i="19" s="1"/>
  <c r="IW23" i="19"/>
  <c r="MG23" i="19" s="1"/>
  <c r="KR23" i="19"/>
  <c r="JH23" i="19"/>
  <c r="JR23" i="19"/>
  <c r="JN23" i="19"/>
  <c r="JF23" i="19"/>
  <c r="JP23" i="19"/>
  <c r="JT23" i="19"/>
  <c r="KR22" i="19"/>
  <c r="IW22" i="19"/>
  <c r="MG22" i="19" s="1"/>
  <c r="JR22" i="19"/>
  <c r="JT22" i="19"/>
  <c r="JF22" i="19"/>
  <c r="JP22" i="19"/>
  <c r="JH22" i="19"/>
  <c r="JN22" i="19"/>
  <c r="JF21" i="19"/>
  <c r="JP21" i="19"/>
  <c r="JN21" i="19"/>
  <c r="JR21" i="19"/>
  <c r="JT21" i="19"/>
  <c r="JH21" i="19"/>
  <c r="KR21" i="19"/>
  <c r="IW21" i="19"/>
  <c r="MG21" i="19" s="1"/>
  <c r="IW20" i="19"/>
  <c r="MG20" i="19" s="1"/>
  <c r="KR20" i="19"/>
  <c r="JF20" i="19"/>
  <c r="JH20" i="19"/>
  <c r="JN20" i="19"/>
  <c r="JP20" i="19"/>
  <c r="JR20" i="19"/>
  <c r="JT20" i="19"/>
  <c r="IW19" i="19"/>
  <c r="MG19" i="19" s="1"/>
  <c r="KR19" i="19"/>
  <c r="JF19" i="19"/>
  <c r="JH19" i="19"/>
  <c r="JN19" i="19"/>
  <c r="JP19" i="19"/>
  <c r="JR19" i="19"/>
  <c r="JT19" i="19"/>
  <c r="IW18" i="19"/>
  <c r="MG18" i="19" s="1"/>
  <c r="KR18" i="19"/>
  <c r="JF18" i="19"/>
  <c r="JH18" i="19"/>
  <c r="JN18" i="19"/>
  <c r="JP18" i="19"/>
  <c r="JR18" i="19"/>
  <c r="JT18" i="19"/>
  <c r="JF17" i="19"/>
  <c r="JH17" i="19"/>
  <c r="JN17" i="19"/>
  <c r="JP17" i="19"/>
  <c r="JR17" i="19"/>
  <c r="JT17" i="19"/>
  <c r="IW17" i="19"/>
  <c r="MG17" i="19" s="1"/>
  <c r="KR17" i="19"/>
  <c r="JF16" i="19"/>
  <c r="JH16" i="19"/>
  <c r="JN16" i="19"/>
  <c r="JP16" i="19"/>
  <c r="JR16" i="19"/>
  <c r="JT16" i="19"/>
  <c r="IW16" i="19"/>
  <c r="MG16" i="19" s="1"/>
  <c r="KR16" i="19"/>
  <c r="IW15" i="19"/>
  <c r="MG15" i="19" s="1"/>
  <c r="KR15" i="19"/>
  <c r="JF15" i="19"/>
  <c r="JH15" i="19"/>
  <c r="JN15" i="19"/>
  <c r="JP15" i="19"/>
  <c r="JR15" i="19"/>
  <c r="JT15" i="19"/>
  <c r="IW14" i="19"/>
  <c r="MG14" i="19" s="1"/>
  <c r="KR14" i="19"/>
  <c r="JF14" i="19"/>
  <c r="JH14" i="19"/>
  <c r="JN14" i="19"/>
  <c r="JP14" i="19"/>
  <c r="JR14" i="19"/>
  <c r="JT14" i="19"/>
  <c r="I10" i="19"/>
  <c r="J10" i="19"/>
  <c r="H7" i="19"/>
  <c r="G10" i="19"/>
  <c r="CD10" i="19" s="1"/>
  <c r="CE10" i="19" s="1"/>
  <c r="CC10" i="19"/>
  <c r="CF10" i="19" s="1"/>
  <c r="CG10" i="19" s="1"/>
  <c r="F7" i="19"/>
  <c r="LN14" i="19"/>
  <c r="LN27" i="19" s="1"/>
  <c r="LP14" i="19"/>
  <c r="LP27" i="19" s="1"/>
  <c r="JV13" i="19"/>
  <c r="LJ14" i="19"/>
  <c r="KZ13" i="19"/>
  <c r="IW12" i="19"/>
  <c r="MG12" i="19" s="1"/>
  <c r="KR12" i="19"/>
  <c r="JF12" i="19"/>
  <c r="JH12" i="19"/>
  <c r="JN12" i="19"/>
  <c r="LR13" i="19" s="1"/>
  <c r="JP12" i="19"/>
  <c r="LT13" i="19" s="1"/>
  <c r="JR12" i="19"/>
  <c r="LV13" i="19" s="1"/>
  <c r="JT12" i="19"/>
  <c r="LX13" i="19" s="1"/>
  <c r="IW11" i="19"/>
  <c r="MG11" i="19" s="1"/>
  <c r="KR11" i="19"/>
  <c r="JF11" i="19"/>
  <c r="JH11" i="19"/>
  <c r="LL12" i="19" s="1"/>
  <c r="JN11" i="19"/>
  <c r="LR12" i="19" s="1"/>
  <c r="JP11" i="19"/>
  <c r="LT12" i="19" s="1"/>
  <c r="JR11" i="19"/>
  <c r="LV12" i="19" s="1"/>
  <c r="JT11" i="19"/>
  <c r="LX12" i="19" s="1"/>
  <c r="JF10" i="19"/>
  <c r="JH10" i="19"/>
  <c r="JN10" i="19"/>
  <c r="JP10" i="19"/>
  <c r="JR10" i="19"/>
  <c r="JT10" i="19"/>
  <c r="IW10" i="19"/>
  <c r="MG10" i="19" s="1"/>
  <c r="KR10" i="19"/>
  <c r="IW9" i="19"/>
  <c r="MG9" i="19" s="1"/>
  <c r="KR9" i="19"/>
  <c r="JF9" i="19"/>
  <c r="JH9" i="19"/>
  <c r="JN9" i="19"/>
  <c r="JP9" i="19"/>
  <c r="JR9" i="19"/>
  <c r="JT9" i="19"/>
  <c r="NA9" i="19"/>
  <c r="NK9" i="19"/>
  <c r="NL9" i="19" s="1"/>
  <c r="NM9" i="19" s="1"/>
  <c r="JF8" i="19"/>
  <c r="JH8" i="19"/>
  <c r="JN8" i="19"/>
  <c r="JP8" i="19"/>
  <c r="JR8" i="19"/>
  <c r="JT8" i="19"/>
  <c r="IW8" i="19"/>
  <c r="MG8" i="19" s="1"/>
  <c r="KR8" i="19"/>
  <c r="NA8" i="19"/>
  <c r="NC8" i="19"/>
  <c r="NK8" i="19"/>
  <c r="NL8" i="19" s="1"/>
  <c r="NM8" i="19" s="1"/>
  <c r="IW7" i="19"/>
  <c r="MG7" i="19" s="1"/>
  <c r="KR7" i="19"/>
  <c r="JF7" i="19"/>
  <c r="JH7" i="19"/>
  <c r="JN7" i="19"/>
  <c r="JP7" i="19"/>
  <c r="JR7" i="19"/>
  <c r="JT7" i="19"/>
  <c r="NA7" i="19"/>
  <c r="NK7" i="19"/>
  <c r="NL7" i="19" s="1"/>
  <c r="NM7" i="19" s="1"/>
  <c r="LP28" i="19"/>
  <c r="D7" i="20"/>
  <c r="N17" i="19"/>
  <c r="KG26" i="19"/>
  <c r="LG27" i="19" s="1"/>
  <c r="MZ35" i="19"/>
  <c r="N25" i="19"/>
  <c r="JF6" i="19"/>
  <c r="JH6" i="19"/>
  <c r="JN6" i="19"/>
  <c r="JP6" i="19"/>
  <c r="JR6" i="19"/>
  <c r="JT6" i="19"/>
  <c r="IW6" i="19"/>
  <c r="MG6" i="19" s="1"/>
  <c r="KR6" i="19"/>
  <c r="IO26" i="19"/>
  <c r="D6" i="20"/>
  <c r="N16" i="19"/>
  <c r="JJ27" i="19"/>
  <c r="AJ15" i="19" s="1"/>
  <c r="LM28" i="19"/>
  <c r="LN28" i="19" s="1"/>
  <c r="K16" i="19"/>
  <c r="AJ17" i="19"/>
  <c r="I21" i="19"/>
  <c r="J21" i="19"/>
  <c r="G21" i="19"/>
  <c r="CD19" i="19" s="1"/>
  <c r="CE19" i="19" s="1"/>
  <c r="CC19" i="19"/>
  <c r="CF19" i="19" s="1"/>
  <c r="CG19" i="19" s="1"/>
  <c r="LT4" i="19"/>
  <c r="LV4" i="19"/>
  <c r="JM4" i="19"/>
  <c r="JO4" i="19" s="1"/>
  <c r="JQ4" i="19"/>
  <c r="EW3" i="19"/>
  <c r="FN3" i="19"/>
  <c r="ES3" i="19"/>
  <c r="FJ3" i="19"/>
  <c r="CD9" i="20"/>
  <c r="CM28" i="20" s="1"/>
  <c r="CM4" i="20" s="1"/>
  <c r="CE9" i="20"/>
  <c r="CO28" i="20" s="1"/>
  <c r="CO4" i="20" s="1"/>
  <c r="CP4" i="20" s="1"/>
  <c r="R8" i="19"/>
  <c r="ML26" i="19"/>
  <c r="IV4" i="20"/>
  <c r="IV9" i="20"/>
  <c r="IV10" i="20"/>
  <c r="IV11" i="20"/>
  <c r="IV14" i="20"/>
  <c r="IV26" i="20"/>
  <c r="IV12" i="20"/>
  <c r="IV13" i="20"/>
  <c r="IV6" i="20"/>
  <c r="IV16" i="20"/>
  <c r="IV18" i="20"/>
  <c r="IV7" i="20"/>
  <c r="IV5" i="20"/>
  <c r="IV19" i="20"/>
  <c r="IV20" i="20"/>
  <c r="IV22" i="20"/>
  <c r="IV21" i="20"/>
  <c r="IV25" i="20"/>
  <c r="LR14" i="19"/>
  <c r="LL14" i="19"/>
  <c r="LX14" i="19"/>
  <c r="LV14" i="19"/>
  <c r="LT14" i="19"/>
  <c r="FB8" i="19"/>
  <c r="FA8" i="19"/>
  <c r="FC8" i="19" s="1"/>
  <c r="FA7" i="19"/>
  <c r="FC7" i="19" s="1"/>
  <c r="FB7" i="19"/>
  <c r="IE4" i="18"/>
  <c r="IK4" i="18"/>
  <c r="JA27" i="18"/>
  <c r="JB27" i="18" s="1"/>
  <c r="JK27" i="18"/>
  <c r="JU26" i="18" s="1"/>
  <c r="JB24" i="18"/>
  <c r="JK24" i="18"/>
  <c r="JU23" i="18" s="1"/>
  <c r="JA23" i="18"/>
  <c r="JB23" i="18" s="1"/>
  <c r="JK23" i="18"/>
  <c r="JU22" i="18" s="1"/>
  <c r="DO28" i="18"/>
  <c r="CM4" i="18"/>
  <c r="CL28" i="18"/>
  <c r="CM13" i="18"/>
  <c r="CM23" i="18"/>
  <c r="BQ28" i="18"/>
  <c r="AV28" i="18"/>
  <c r="AW4" i="18" s="1"/>
  <c r="Q9" i="18"/>
  <c r="Q12" i="18"/>
  <c r="Q19" i="18"/>
  <c r="Q21" i="18"/>
  <c r="Q22" i="18"/>
  <c r="Q7" i="18"/>
  <c r="Q13" i="18"/>
  <c r="Q14" i="18"/>
  <c r="Q15" i="18"/>
  <c r="Q16" i="18"/>
  <c r="Q17" i="18"/>
  <c r="Q18" i="18"/>
  <c r="Q20" i="18"/>
  <c r="Q27" i="18"/>
  <c r="Q6" i="18"/>
  <c r="Q8" i="18"/>
  <c r="Q10" i="18"/>
  <c r="Q11" i="18"/>
  <c r="Q23" i="18"/>
  <c r="Q24" i="18"/>
  <c r="Q25" i="18"/>
  <c r="Q26" i="18"/>
  <c r="Q5" i="18"/>
  <c r="Q28" i="18" s="1"/>
  <c r="ND26" i="17"/>
  <c r="ND27" i="17"/>
  <c r="ND29" i="17"/>
  <c r="ND34" i="17"/>
  <c r="NK34" i="17"/>
  <c r="NL34" i="17" s="1"/>
  <c r="NM34" i="17" s="1"/>
  <c r="NA11" i="17"/>
  <c r="NA23" i="17"/>
  <c r="NA26" i="17"/>
  <c r="NA27" i="17"/>
  <c r="NA31" i="17"/>
  <c r="KF7" i="17"/>
  <c r="KH7" i="17" s="1"/>
  <c r="LH8" i="17" s="1"/>
  <c r="KF8" i="17"/>
  <c r="KH8" i="17" s="1"/>
  <c r="LH9" i="17" s="1"/>
  <c r="KF9" i="17"/>
  <c r="KH9" i="17" s="1"/>
  <c r="LH10" i="17" s="1"/>
  <c r="KF10" i="17"/>
  <c r="KH10" i="17" s="1"/>
  <c r="LH11" i="17" s="1"/>
  <c r="KF11" i="17"/>
  <c r="KH11" i="17" s="1"/>
  <c r="LH12" i="17" s="1"/>
  <c r="KF12" i="17"/>
  <c r="KH12" i="17" s="1"/>
  <c r="LH13" i="17" s="1"/>
  <c r="KF13" i="17"/>
  <c r="KH13" i="17" s="1"/>
  <c r="LH14" i="17" s="1"/>
  <c r="KF14" i="17"/>
  <c r="KH14" i="17" s="1"/>
  <c r="LH15" i="17" s="1"/>
  <c r="KF15" i="17"/>
  <c r="KH15" i="17" s="1"/>
  <c r="LH16" i="17" s="1"/>
  <c r="KF16" i="17"/>
  <c r="KH16" i="17" s="1"/>
  <c r="LH17" i="17" s="1"/>
  <c r="KF17" i="17"/>
  <c r="KH17" i="17" s="1"/>
  <c r="LH18" i="17" s="1"/>
  <c r="KF18" i="17"/>
  <c r="KH18" i="17" s="1"/>
  <c r="LH19" i="17" s="1"/>
  <c r="KF19" i="17"/>
  <c r="KH19" i="17" s="1"/>
  <c r="LH20" i="17" s="1"/>
  <c r="KF20" i="17"/>
  <c r="KH20" i="17" s="1"/>
  <c r="LH21" i="17" s="1"/>
  <c r="KF21" i="17"/>
  <c r="KH21" i="17" s="1"/>
  <c r="LH22" i="17" s="1"/>
  <c r="KF22" i="17"/>
  <c r="KH22" i="17" s="1"/>
  <c r="LH23" i="17" s="1"/>
  <c r="KF23" i="17"/>
  <c r="KH23" i="17" s="1"/>
  <c r="LH24" i="17" s="1"/>
  <c r="KF24" i="17"/>
  <c r="KH24" i="17" s="1"/>
  <c r="LH25" i="17" s="1"/>
  <c r="KF25" i="17"/>
  <c r="KH25" i="17" s="1"/>
  <c r="LH26" i="17" s="1"/>
  <c r="LR26" i="17" s="1"/>
  <c r="LH27" i="17"/>
  <c r="L17" i="17"/>
  <c r="M17" i="17"/>
  <c r="IM26" i="17"/>
  <c r="JD26" i="17"/>
  <c r="JF25" i="17"/>
  <c r="JH25" i="17"/>
  <c r="LL26" i="17" s="1"/>
  <c r="JP25" i="17"/>
  <c r="LT26" i="17" s="1"/>
  <c r="JR25" i="17"/>
  <c r="LV26" i="17" s="1"/>
  <c r="JT25" i="17"/>
  <c r="LX26" i="17" s="1"/>
  <c r="IW25" i="17"/>
  <c r="MG25" i="17" s="1"/>
  <c r="KR25" i="17"/>
  <c r="JF24" i="17"/>
  <c r="JH24" i="17"/>
  <c r="LL25" i="17" s="1"/>
  <c r="JN24" i="17"/>
  <c r="LR25" i="17" s="1"/>
  <c r="JP24" i="17"/>
  <c r="LT25" i="17" s="1"/>
  <c r="JR24" i="17"/>
  <c r="LV25" i="17" s="1"/>
  <c r="JT24" i="17"/>
  <c r="LX25" i="17" s="1"/>
  <c r="IW24" i="17"/>
  <c r="MG24" i="17" s="1"/>
  <c r="KR24" i="17"/>
  <c r="IW23" i="17"/>
  <c r="MG23" i="17" s="1"/>
  <c r="KR23" i="17"/>
  <c r="JF23" i="17"/>
  <c r="JH23" i="17"/>
  <c r="LL24" i="17" s="1"/>
  <c r="JN23" i="17"/>
  <c r="LR24" i="17" s="1"/>
  <c r="JP23" i="17"/>
  <c r="LT24" i="17" s="1"/>
  <c r="JR23" i="17"/>
  <c r="LV24" i="17" s="1"/>
  <c r="JT23" i="17"/>
  <c r="LX24" i="17" s="1"/>
  <c r="JF22" i="17"/>
  <c r="JH22" i="17"/>
  <c r="LL23" i="17" s="1"/>
  <c r="JN22" i="17"/>
  <c r="LR23" i="17" s="1"/>
  <c r="JP22" i="17"/>
  <c r="LT23" i="17" s="1"/>
  <c r="JR22" i="17"/>
  <c r="LV23" i="17" s="1"/>
  <c r="JT22" i="17"/>
  <c r="LX23" i="17" s="1"/>
  <c r="IW22" i="17"/>
  <c r="MG22" i="17" s="1"/>
  <c r="KR22" i="17"/>
  <c r="IW21" i="17"/>
  <c r="MG21" i="17" s="1"/>
  <c r="KR21" i="17"/>
  <c r="JF21" i="17"/>
  <c r="JH21" i="17"/>
  <c r="LL22" i="17" s="1"/>
  <c r="JN21" i="17"/>
  <c r="LR22" i="17" s="1"/>
  <c r="JP21" i="17"/>
  <c r="LT22" i="17" s="1"/>
  <c r="JR21" i="17"/>
  <c r="LV22" i="17" s="1"/>
  <c r="JT21" i="17"/>
  <c r="LX22" i="17" s="1"/>
  <c r="JF20" i="17"/>
  <c r="JH20" i="17"/>
  <c r="LL21" i="17" s="1"/>
  <c r="JN20" i="17"/>
  <c r="LR21" i="17" s="1"/>
  <c r="JP20" i="17"/>
  <c r="LT21" i="17" s="1"/>
  <c r="JR20" i="17"/>
  <c r="LV21" i="17" s="1"/>
  <c r="JT20" i="17"/>
  <c r="LX21" i="17" s="1"/>
  <c r="IW20" i="17"/>
  <c r="MG20" i="17" s="1"/>
  <c r="KR20" i="17"/>
  <c r="G20" i="17"/>
  <c r="CD18" i="17" s="1"/>
  <c r="CE18" i="17" s="1"/>
  <c r="CC18" i="17"/>
  <c r="CF18" i="17" s="1"/>
  <c r="CG18" i="17" s="1"/>
  <c r="IW19" i="17"/>
  <c r="MG19" i="17" s="1"/>
  <c r="KR19" i="17"/>
  <c r="JF19" i="17"/>
  <c r="JH19" i="17"/>
  <c r="LL20" i="17" s="1"/>
  <c r="JN19" i="17"/>
  <c r="LR20" i="17" s="1"/>
  <c r="JP19" i="17"/>
  <c r="LT20" i="17" s="1"/>
  <c r="JR19" i="17"/>
  <c r="LV20" i="17" s="1"/>
  <c r="JT19" i="17"/>
  <c r="LX20" i="17" s="1"/>
  <c r="JF18" i="17"/>
  <c r="JH18" i="17"/>
  <c r="LL19" i="17" s="1"/>
  <c r="JN18" i="17"/>
  <c r="LR19" i="17" s="1"/>
  <c r="JP18" i="17"/>
  <c r="LT19" i="17" s="1"/>
  <c r="JR18" i="17"/>
  <c r="LV19" i="17" s="1"/>
  <c r="JT18" i="17"/>
  <c r="LX19" i="17" s="1"/>
  <c r="IW18" i="17"/>
  <c r="MG18" i="17" s="1"/>
  <c r="KR18" i="17"/>
  <c r="JF17" i="17"/>
  <c r="JH17" i="17"/>
  <c r="LL18" i="17" s="1"/>
  <c r="JN17" i="17"/>
  <c r="LR18" i="17" s="1"/>
  <c r="JP17" i="17"/>
  <c r="LT18" i="17" s="1"/>
  <c r="JR17" i="17"/>
  <c r="LV18" i="17" s="1"/>
  <c r="JT17" i="17"/>
  <c r="LX18" i="17" s="1"/>
  <c r="IW17" i="17"/>
  <c r="MG17" i="17" s="1"/>
  <c r="KR17" i="17"/>
  <c r="IW16" i="17"/>
  <c r="MG16" i="17" s="1"/>
  <c r="KR16" i="17"/>
  <c r="JF16" i="17"/>
  <c r="JH16" i="17"/>
  <c r="LL17" i="17" s="1"/>
  <c r="JN16" i="17"/>
  <c r="LR17" i="17" s="1"/>
  <c r="JP16" i="17"/>
  <c r="LT17" i="17" s="1"/>
  <c r="JR16" i="17"/>
  <c r="LV17" i="17" s="1"/>
  <c r="JT16" i="17"/>
  <c r="LX17" i="17" s="1"/>
  <c r="IW15" i="17"/>
  <c r="MG15" i="17" s="1"/>
  <c r="KR15" i="17"/>
  <c r="JF15" i="17"/>
  <c r="JH15" i="17"/>
  <c r="LL16" i="17" s="1"/>
  <c r="JN15" i="17"/>
  <c r="LR16" i="17" s="1"/>
  <c r="JP15" i="17"/>
  <c r="LT16" i="17" s="1"/>
  <c r="JR15" i="17"/>
  <c r="LV16" i="17" s="1"/>
  <c r="JT15" i="17"/>
  <c r="LX16" i="17" s="1"/>
  <c r="JF14" i="17"/>
  <c r="JH14" i="17"/>
  <c r="LL15" i="17" s="1"/>
  <c r="JN14" i="17"/>
  <c r="LR15" i="17" s="1"/>
  <c r="JP14" i="17"/>
  <c r="LT15" i="17" s="1"/>
  <c r="JR14" i="17"/>
  <c r="LV15" i="17" s="1"/>
  <c r="JT14" i="17"/>
  <c r="LX15" i="17" s="1"/>
  <c r="IW14" i="17"/>
  <c r="MG14" i="17" s="1"/>
  <c r="KR14" i="17"/>
  <c r="IW13" i="17"/>
  <c r="MG13" i="17" s="1"/>
  <c r="KR13" i="17"/>
  <c r="JF13" i="17"/>
  <c r="JH13" i="17"/>
  <c r="LL14" i="17" s="1"/>
  <c r="JN13" i="17"/>
  <c r="LR14" i="17" s="1"/>
  <c r="JP13" i="17"/>
  <c r="LT14" i="17" s="1"/>
  <c r="JR13" i="17"/>
  <c r="LV14" i="17" s="1"/>
  <c r="JT13" i="17"/>
  <c r="LX14" i="17" s="1"/>
  <c r="IW12" i="17"/>
  <c r="MG12" i="17" s="1"/>
  <c r="KR12" i="17"/>
  <c r="JF12" i="17"/>
  <c r="JH12" i="17"/>
  <c r="LL13" i="17" s="1"/>
  <c r="JN12" i="17"/>
  <c r="LR13" i="17" s="1"/>
  <c r="JP12" i="17"/>
  <c r="LT13" i="17" s="1"/>
  <c r="JR12" i="17"/>
  <c r="LV13" i="17" s="1"/>
  <c r="JT12" i="17"/>
  <c r="LX13" i="17" s="1"/>
  <c r="IW11" i="17"/>
  <c r="MG11" i="17" s="1"/>
  <c r="KR11" i="17"/>
  <c r="JF11" i="17"/>
  <c r="JH11" i="17"/>
  <c r="LL12" i="17" s="1"/>
  <c r="JN11" i="17"/>
  <c r="LR12" i="17" s="1"/>
  <c r="JP11" i="17"/>
  <c r="LT12" i="17" s="1"/>
  <c r="JR11" i="17"/>
  <c r="LV12" i="17" s="1"/>
  <c r="JT11" i="17"/>
  <c r="LX12" i="17" s="1"/>
  <c r="IW10" i="17"/>
  <c r="MG10" i="17" s="1"/>
  <c r="KR10" i="17"/>
  <c r="JF10" i="17"/>
  <c r="JH10" i="17"/>
  <c r="LL11" i="17" s="1"/>
  <c r="JN10" i="17"/>
  <c r="LR11" i="17" s="1"/>
  <c r="JP10" i="17"/>
  <c r="LT11" i="17" s="1"/>
  <c r="JR10" i="17"/>
  <c r="LV11" i="17" s="1"/>
  <c r="JT10" i="17"/>
  <c r="LX11" i="17" s="1"/>
  <c r="JF9" i="17"/>
  <c r="JH9" i="17"/>
  <c r="LL10" i="17" s="1"/>
  <c r="JN9" i="17"/>
  <c r="LR10" i="17" s="1"/>
  <c r="JP9" i="17"/>
  <c r="LT10" i="17" s="1"/>
  <c r="JR9" i="17"/>
  <c r="LV10" i="17" s="1"/>
  <c r="JT9" i="17"/>
  <c r="LX10" i="17" s="1"/>
  <c r="IW9" i="17"/>
  <c r="MG9" i="17" s="1"/>
  <c r="KR9" i="17"/>
  <c r="NA9" i="17"/>
  <c r="NK9" i="17"/>
  <c r="NL9" i="17" s="1"/>
  <c r="NM9" i="17" s="1"/>
  <c r="IW8" i="17"/>
  <c r="MG8" i="17" s="1"/>
  <c r="KR8" i="17"/>
  <c r="JF8" i="17"/>
  <c r="JH8" i="17"/>
  <c r="LL9" i="17" s="1"/>
  <c r="JN8" i="17"/>
  <c r="LR9" i="17" s="1"/>
  <c r="JP8" i="17"/>
  <c r="LT9" i="17" s="1"/>
  <c r="JR8" i="17"/>
  <c r="LV9" i="17" s="1"/>
  <c r="JT8" i="17"/>
  <c r="LX9" i="17" s="1"/>
  <c r="NA8" i="17"/>
  <c r="NC8" i="17"/>
  <c r="NK8" i="17"/>
  <c r="NL8" i="17" s="1"/>
  <c r="NM8" i="17" s="1"/>
  <c r="JF7" i="17"/>
  <c r="JH7" i="17"/>
  <c r="LL8" i="17" s="1"/>
  <c r="JN7" i="17"/>
  <c r="JP7" i="17"/>
  <c r="JR7" i="17"/>
  <c r="JT7" i="17"/>
  <c r="IW7" i="17"/>
  <c r="MG7" i="17" s="1"/>
  <c r="KR7" i="17"/>
  <c r="KG6" i="17"/>
  <c r="LG7" i="17" s="1"/>
  <c r="KD26" i="17"/>
  <c r="IW6" i="17"/>
  <c r="MG6" i="17" s="1"/>
  <c r="KR6" i="17"/>
  <c r="IO26" i="17"/>
  <c r="JF6" i="17"/>
  <c r="JH6" i="17"/>
  <c r="JN6" i="17"/>
  <c r="JP6" i="17"/>
  <c r="JR6" i="17"/>
  <c r="JT6" i="17"/>
  <c r="JJ27" i="17"/>
  <c r="AJ15" i="17" s="1"/>
  <c r="LM28" i="17"/>
  <c r="K16" i="17"/>
  <c r="AJ17" i="17"/>
  <c r="I21" i="17"/>
  <c r="LV4" i="17"/>
  <c r="LT4" i="17"/>
  <c r="JM4" i="17"/>
  <c r="JO4" i="17" s="1"/>
  <c r="JQ4" i="17"/>
  <c r="EW3" i="17"/>
  <c r="FN3" i="17"/>
  <c r="ES3" i="17"/>
  <c r="FJ3" i="17"/>
  <c r="CM24" i="18"/>
  <c r="CM22" i="18"/>
  <c r="CM21" i="18"/>
  <c r="CM19" i="18"/>
  <c r="CM18" i="18"/>
  <c r="CM17" i="18"/>
  <c r="CM16" i="18"/>
  <c r="CM15" i="18"/>
  <c r="CM14" i="18"/>
  <c r="CM8" i="18"/>
  <c r="CM11" i="18"/>
  <c r="CM10" i="18"/>
  <c r="CM9" i="18"/>
  <c r="CM7" i="18"/>
  <c r="CM6" i="18"/>
  <c r="R8" i="17"/>
  <c r="CM5" i="18"/>
  <c r="CM25" i="18"/>
  <c r="CM20" i="18"/>
  <c r="CM27" i="18"/>
  <c r="CM26" i="18"/>
  <c r="DO12" i="18"/>
  <c r="CL12" i="18"/>
  <c r="CM12" i="18" s="1"/>
  <c r="BQ12" i="18"/>
  <c r="EU12" i="18"/>
  <c r="EU28" i="18" s="1"/>
  <c r="CN4" i="18"/>
  <c r="DZ4" i="18"/>
  <c r="DM4" i="18"/>
  <c r="F21" i="17"/>
  <c r="J21" i="17" s="1"/>
  <c r="J20" i="17"/>
  <c r="I10" i="17"/>
  <c r="J10" i="17"/>
  <c r="H7" i="17"/>
  <c r="G10" i="17"/>
  <c r="CD10" i="17" s="1"/>
  <c r="CE10" i="17" s="1"/>
  <c r="F7" i="17"/>
  <c r="CC10" i="17"/>
  <c r="CF10" i="17" s="1"/>
  <c r="CG10" i="17" s="1"/>
  <c r="JA27" i="16"/>
  <c r="JB27" i="16" s="1"/>
  <c r="JK27" i="16"/>
  <c r="JU26" i="16" s="1"/>
  <c r="JB24" i="16"/>
  <c r="JK24" i="16"/>
  <c r="JU23" i="16" s="1"/>
  <c r="JK23" i="16"/>
  <c r="JU22" i="16" s="1"/>
  <c r="JA23" i="16"/>
  <c r="JB23" i="16" s="1"/>
  <c r="IX18" i="16"/>
  <c r="EU28" i="16"/>
  <c r="DO28" i="16"/>
  <c r="CL28" i="16"/>
  <c r="BQ28" i="16"/>
  <c r="AV28" i="16"/>
  <c r="AW4" i="16" s="1"/>
  <c r="Q5" i="16"/>
  <c r="Q12" i="16"/>
  <c r="Q14" i="16"/>
  <c r="Q19" i="16"/>
  <c r="Q21" i="16"/>
  <c r="Q26" i="16"/>
  <c r="Q8" i="16"/>
  <c r="Q9" i="16"/>
  <c r="Q13" i="16"/>
  <c r="Q15" i="16"/>
  <c r="Q17" i="16"/>
  <c r="Q20" i="16"/>
  <c r="Q22" i="16"/>
  <c r="Q23" i="16"/>
  <c r="Q24" i="16"/>
  <c r="Q27" i="16"/>
  <c r="Q11" i="16"/>
  <c r="Q18" i="16"/>
  <c r="Q25" i="16"/>
  <c r="Q6" i="16"/>
  <c r="Q7" i="16"/>
  <c r="Q10" i="16"/>
  <c r="Q16" i="16"/>
  <c r="G20" i="15"/>
  <c r="CD18" i="15" s="1"/>
  <c r="CE18" i="15" s="1"/>
  <c r="CC18" i="15"/>
  <c r="CF18" i="15" s="1"/>
  <c r="CG18" i="15" s="1"/>
  <c r="ND29" i="15"/>
  <c r="ND26" i="15"/>
  <c r="ND27" i="15"/>
  <c r="ND34" i="15"/>
  <c r="NA27" i="15"/>
  <c r="NA31" i="15"/>
  <c r="NK34" i="15"/>
  <c r="NL34" i="15" s="1"/>
  <c r="NM34" i="15" s="1"/>
  <c r="NA26" i="15"/>
  <c r="NA11" i="15"/>
  <c r="NA23" i="15"/>
  <c r="Q24" i="15"/>
  <c r="R24" i="15"/>
  <c r="KF20" i="15"/>
  <c r="KH20" i="15" s="1"/>
  <c r="LH21" i="15" s="1"/>
  <c r="KF8" i="15"/>
  <c r="KH8" i="15" s="1"/>
  <c r="LH9" i="15" s="1"/>
  <c r="KF14" i="15"/>
  <c r="KH14" i="15" s="1"/>
  <c r="LH15" i="15" s="1"/>
  <c r="KF15" i="15"/>
  <c r="KH15" i="15" s="1"/>
  <c r="LH16" i="15" s="1"/>
  <c r="KF21" i="15"/>
  <c r="KH21" i="15" s="1"/>
  <c r="LH22" i="15" s="1"/>
  <c r="KF22" i="15"/>
  <c r="KH22" i="15" s="1"/>
  <c r="LH23" i="15" s="1"/>
  <c r="KF17" i="15"/>
  <c r="KH17" i="15" s="1"/>
  <c r="LH18" i="15" s="1"/>
  <c r="KF19" i="15"/>
  <c r="KH19" i="15" s="1"/>
  <c r="LH20" i="15" s="1"/>
  <c r="KF10" i="15"/>
  <c r="KH10" i="15" s="1"/>
  <c r="LH11" i="15" s="1"/>
  <c r="KF12" i="15"/>
  <c r="KH12" i="15" s="1"/>
  <c r="LH13" i="15" s="1"/>
  <c r="KF16" i="15"/>
  <c r="KH16" i="15" s="1"/>
  <c r="LH17" i="15" s="1"/>
  <c r="KF18" i="15"/>
  <c r="KH18" i="15" s="1"/>
  <c r="LH19" i="15" s="1"/>
  <c r="KF23" i="15"/>
  <c r="KH23" i="15" s="1"/>
  <c r="LH24" i="15" s="1"/>
  <c r="KF7" i="15"/>
  <c r="KH7" i="15" s="1"/>
  <c r="LH8" i="15" s="1"/>
  <c r="KF11" i="15"/>
  <c r="KH11" i="15" s="1"/>
  <c r="LH12" i="15" s="1"/>
  <c r="KF13" i="15"/>
  <c r="KH13" i="15" s="1"/>
  <c r="LH14" i="15" s="1"/>
  <c r="KF6" i="15"/>
  <c r="KH6" i="15" s="1"/>
  <c r="LH7" i="15" s="1"/>
  <c r="KF9" i="15"/>
  <c r="KH9" i="15" s="1"/>
  <c r="LH10" i="15" s="1"/>
  <c r="KF24" i="15"/>
  <c r="KH24" i="15" s="1"/>
  <c r="LH25" i="15" s="1"/>
  <c r="LH27" i="15"/>
  <c r="L17" i="15"/>
  <c r="M17" i="15"/>
  <c r="L9" i="15"/>
  <c r="L8" i="15"/>
  <c r="M8" i="15"/>
  <c r="K7" i="15"/>
  <c r="IM26" i="15"/>
  <c r="JD26" i="15"/>
  <c r="LN26" i="15"/>
  <c r="LN27" i="15" s="1"/>
  <c r="LP26" i="15"/>
  <c r="LP27" i="15" s="1"/>
  <c r="IW25" i="15"/>
  <c r="MG25" i="15" s="1"/>
  <c r="KR25" i="15"/>
  <c r="JF25" i="15"/>
  <c r="JR25" i="15"/>
  <c r="LV26" i="15" s="1"/>
  <c r="JH25" i="15"/>
  <c r="LL26" i="15" s="1"/>
  <c r="JP25" i="15"/>
  <c r="LT26" i="15" s="1"/>
  <c r="JT25" i="15"/>
  <c r="LX26" i="15" s="1"/>
  <c r="IW24" i="15"/>
  <c r="MG24" i="15" s="1"/>
  <c r="KR24" i="15"/>
  <c r="JF24" i="15"/>
  <c r="JH24" i="15"/>
  <c r="LL25" i="15" s="1"/>
  <c r="JN24" i="15"/>
  <c r="LR25" i="15" s="1"/>
  <c r="JP24" i="15"/>
  <c r="LT25" i="15" s="1"/>
  <c r="JR24" i="15"/>
  <c r="LV25" i="15" s="1"/>
  <c r="JT24" i="15"/>
  <c r="LX25" i="15" s="1"/>
  <c r="JF23" i="15"/>
  <c r="JH23" i="15"/>
  <c r="LL24" i="15" s="1"/>
  <c r="JN23" i="15"/>
  <c r="LR24" i="15" s="1"/>
  <c r="JP23" i="15"/>
  <c r="LT24" i="15" s="1"/>
  <c r="JR23" i="15"/>
  <c r="LV24" i="15" s="1"/>
  <c r="JT23" i="15"/>
  <c r="LX24" i="15" s="1"/>
  <c r="IW23" i="15"/>
  <c r="MG23" i="15" s="1"/>
  <c r="KR23" i="15"/>
  <c r="IW22" i="15"/>
  <c r="MG22" i="15" s="1"/>
  <c r="KR22" i="15"/>
  <c r="JF22" i="15"/>
  <c r="JH22" i="15"/>
  <c r="LL23" i="15" s="1"/>
  <c r="JN22" i="15"/>
  <c r="LR23" i="15" s="1"/>
  <c r="JP22" i="15"/>
  <c r="LT23" i="15" s="1"/>
  <c r="JR22" i="15"/>
  <c r="LV23" i="15" s="1"/>
  <c r="JT22" i="15"/>
  <c r="LX23" i="15" s="1"/>
  <c r="IW21" i="15"/>
  <c r="MG21" i="15" s="1"/>
  <c r="KR21" i="15"/>
  <c r="JF21" i="15"/>
  <c r="JH21" i="15"/>
  <c r="LL22" i="15" s="1"/>
  <c r="JN21" i="15"/>
  <c r="LR22" i="15" s="1"/>
  <c r="JP21" i="15"/>
  <c r="LT22" i="15" s="1"/>
  <c r="JR21" i="15"/>
  <c r="LV22" i="15" s="1"/>
  <c r="JT21" i="15"/>
  <c r="LX22" i="15" s="1"/>
  <c r="JF20" i="15"/>
  <c r="JH20" i="15"/>
  <c r="LL21" i="15" s="1"/>
  <c r="JN20" i="15"/>
  <c r="LR21" i="15" s="1"/>
  <c r="JP20" i="15"/>
  <c r="LT21" i="15" s="1"/>
  <c r="JR20" i="15"/>
  <c r="LV21" i="15" s="1"/>
  <c r="JT20" i="15"/>
  <c r="LX21" i="15" s="1"/>
  <c r="IW20" i="15"/>
  <c r="MG20" i="15" s="1"/>
  <c r="KR20" i="15"/>
  <c r="IW19" i="15"/>
  <c r="MG19" i="15" s="1"/>
  <c r="KR19" i="15"/>
  <c r="JF19" i="15"/>
  <c r="JH19" i="15"/>
  <c r="LL20" i="15" s="1"/>
  <c r="JN19" i="15"/>
  <c r="LR20" i="15" s="1"/>
  <c r="JP19" i="15"/>
  <c r="LT20" i="15" s="1"/>
  <c r="JR19" i="15"/>
  <c r="LV20" i="15" s="1"/>
  <c r="JT19" i="15"/>
  <c r="LX20" i="15" s="1"/>
  <c r="JF18" i="15"/>
  <c r="JH18" i="15"/>
  <c r="LL19" i="15" s="1"/>
  <c r="JN18" i="15"/>
  <c r="LR19" i="15" s="1"/>
  <c r="JP18" i="15"/>
  <c r="LT19" i="15" s="1"/>
  <c r="JR18" i="15"/>
  <c r="LV19" i="15" s="1"/>
  <c r="JT18" i="15"/>
  <c r="LX19" i="15" s="1"/>
  <c r="IW18" i="15"/>
  <c r="MG18" i="15" s="1"/>
  <c r="KR18" i="15"/>
  <c r="IW17" i="15"/>
  <c r="MG17" i="15" s="1"/>
  <c r="KR17" i="15"/>
  <c r="JF17" i="15"/>
  <c r="JH17" i="15"/>
  <c r="LL18" i="15" s="1"/>
  <c r="JN17" i="15"/>
  <c r="LR18" i="15" s="1"/>
  <c r="JP17" i="15"/>
  <c r="LT18" i="15" s="1"/>
  <c r="JR17" i="15"/>
  <c r="LV18" i="15" s="1"/>
  <c r="JT17" i="15"/>
  <c r="LX18" i="15" s="1"/>
  <c r="IW16" i="15"/>
  <c r="MG16" i="15" s="1"/>
  <c r="KR16" i="15"/>
  <c r="JF16" i="15"/>
  <c r="JH16" i="15"/>
  <c r="LL17" i="15" s="1"/>
  <c r="JN16" i="15"/>
  <c r="LR17" i="15" s="1"/>
  <c r="JP16" i="15"/>
  <c r="LT17" i="15" s="1"/>
  <c r="JR16" i="15"/>
  <c r="LV17" i="15" s="1"/>
  <c r="JT16" i="15"/>
  <c r="LX17" i="15" s="1"/>
  <c r="JF15" i="15"/>
  <c r="JH15" i="15"/>
  <c r="LL16" i="15" s="1"/>
  <c r="JN15" i="15"/>
  <c r="LR16" i="15" s="1"/>
  <c r="JP15" i="15"/>
  <c r="LT16" i="15" s="1"/>
  <c r="JR15" i="15"/>
  <c r="LV16" i="15" s="1"/>
  <c r="JT15" i="15"/>
  <c r="LX16" i="15" s="1"/>
  <c r="IW15" i="15"/>
  <c r="MG15" i="15" s="1"/>
  <c r="KR15" i="15"/>
  <c r="JF14" i="15"/>
  <c r="JH14" i="15"/>
  <c r="LL15" i="15" s="1"/>
  <c r="JN14" i="15"/>
  <c r="LR15" i="15" s="1"/>
  <c r="JP14" i="15"/>
  <c r="LT15" i="15" s="1"/>
  <c r="JR14" i="15"/>
  <c r="LV15" i="15" s="1"/>
  <c r="JT14" i="15"/>
  <c r="LX15" i="15" s="1"/>
  <c r="IW14" i="15"/>
  <c r="MG14" i="15" s="1"/>
  <c r="KR14" i="15"/>
  <c r="JF13" i="15"/>
  <c r="JH13" i="15"/>
  <c r="LL14" i="15" s="1"/>
  <c r="JN13" i="15"/>
  <c r="LR14" i="15" s="1"/>
  <c r="JP13" i="15"/>
  <c r="LT14" i="15" s="1"/>
  <c r="JR13" i="15"/>
  <c r="LV14" i="15" s="1"/>
  <c r="JT13" i="15"/>
  <c r="LX14" i="15" s="1"/>
  <c r="IW13" i="15"/>
  <c r="MG13" i="15" s="1"/>
  <c r="KR13" i="15"/>
  <c r="IW12" i="15"/>
  <c r="MG12" i="15" s="1"/>
  <c r="KR12" i="15"/>
  <c r="JF12" i="15"/>
  <c r="JH12" i="15"/>
  <c r="LL13" i="15" s="1"/>
  <c r="JN12" i="15"/>
  <c r="LR13" i="15" s="1"/>
  <c r="JP12" i="15"/>
  <c r="LT13" i="15" s="1"/>
  <c r="JR12" i="15"/>
  <c r="LV13" i="15" s="1"/>
  <c r="JT12" i="15"/>
  <c r="LX13" i="15" s="1"/>
  <c r="JF11" i="15"/>
  <c r="JH11" i="15"/>
  <c r="LL12" i="15" s="1"/>
  <c r="JN11" i="15"/>
  <c r="LR12" i="15" s="1"/>
  <c r="JP11" i="15"/>
  <c r="LT12" i="15" s="1"/>
  <c r="JR11" i="15"/>
  <c r="LV12" i="15" s="1"/>
  <c r="JT11" i="15"/>
  <c r="LX12" i="15" s="1"/>
  <c r="IW11" i="15"/>
  <c r="MG11" i="15" s="1"/>
  <c r="KR11" i="15"/>
  <c r="JF10" i="15"/>
  <c r="JN10" i="15"/>
  <c r="LR11" i="15" s="1"/>
  <c r="JR10" i="15"/>
  <c r="LV11" i="15" s="1"/>
  <c r="JH10" i="15"/>
  <c r="LL11" i="15" s="1"/>
  <c r="JP10" i="15"/>
  <c r="LT11" i="15" s="1"/>
  <c r="JT10" i="15"/>
  <c r="LX11" i="15" s="1"/>
  <c r="IW10" i="15"/>
  <c r="MG10" i="15" s="1"/>
  <c r="KR10" i="15"/>
  <c r="IW9" i="15"/>
  <c r="MG9" i="15" s="1"/>
  <c r="KR9" i="15"/>
  <c r="JF9" i="15"/>
  <c r="JH9" i="15"/>
  <c r="LL10" i="15" s="1"/>
  <c r="JN9" i="15"/>
  <c r="LR10" i="15" s="1"/>
  <c r="JP9" i="15"/>
  <c r="LT10" i="15" s="1"/>
  <c r="JR9" i="15"/>
  <c r="LV10" i="15" s="1"/>
  <c r="JT9" i="15"/>
  <c r="LX10" i="15" s="1"/>
  <c r="NA9" i="15"/>
  <c r="NK9" i="15"/>
  <c r="NL9" i="15" s="1"/>
  <c r="NM9" i="15" s="1"/>
  <c r="IW8" i="15"/>
  <c r="MG8" i="15" s="1"/>
  <c r="KR8" i="15"/>
  <c r="JF8" i="15"/>
  <c r="JH8" i="15"/>
  <c r="LL9" i="15" s="1"/>
  <c r="JN8" i="15"/>
  <c r="LR9" i="15" s="1"/>
  <c r="JP8" i="15"/>
  <c r="LT9" i="15" s="1"/>
  <c r="JR8" i="15"/>
  <c r="LV9" i="15" s="1"/>
  <c r="JT8" i="15"/>
  <c r="LX9" i="15" s="1"/>
  <c r="NA8" i="15"/>
  <c r="NC8" i="15"/>
  <c r="NK8" i="15"/>
  <c r="NL8" i="15" s="1"/>
  <c r="NM8" i="15" s="1"/>
  <c r="JF7" i="15"/>
  <c r="JH7" i="15"/>
  <c r="LL8" i="15" s="1"/>
  <c r="JN7" i="15"/>
  <c r="LR8" i="15" s="1"/>
  <c r="JP7" i="15"/>
  <c r="LT8" i="15" s="1"/>
  <c r="JR7" i="15"/>
  <c r="LV8" i="15" s="1"/>
  <c r="JT7" i="15"/>
  <c r="LX8" i="15" s="1"/>
  <c r="IW7" i="15"/>
  <c r="MG7" i="15" s="1"/>
  <c r="KR7" i="15"/>
  <c r="NA7" i="15"/>
  <c r="NK7" i="15"/>
  <c r="NL7" i="15" s="1"/>
  <c r="NM7" i="15" s="1"/>
  <c r="D7" i="16"/>
  <c r="LP28" i="15"/>
  <c r="N17" i="15"/>
  <c r="KG26" i="15"/>
  <c r="LG27" i="15" s="1"/>
  <c r="N25" i="15"/>
  <c r="MZ35" i="15"/>
  <c r="JF6" i="15"/>
  <c r="JH6" i="15"/>
  <c r="JN6" i="15"/>
  <c r="JP6" i="15"/>
  <c r="JR6" i="15"/>
  <c r="JT6" i="15"/>
  <c r="IW6" i="15"/>
  <c r="MG6" i="15" s="1"/>
  <c r="KR6" i="15"/>
  <c r="IO26" i="15"/>
  <c r="N16" i="15"/>
  <c r="D6" i="16"/>
  <c r="K16" i="15"/>
  <c r="LM28" i="15"/>
  <c r="LN28" i="15" s="1"/>
  <c r="JJ27" i="15"/>
  <c r="AJ15" i="15" s="1"/>
  <c r="AJ17" i="15" s="1"/>
  <c r="I7" i="15"/>
  <c r="J7" i="15"/>
  <c r="H9" i="15"/>
  <c r="M9" i="15" s="1"/>
  <c r="G7" i="15"/>
  <c r="CC7" i="15"/>
  <c r="CF7" i="15" s="1"/>
  <c r="CG7" i="15" s="1"/>
  <c r="F9" i="15"/>
  <c r="I21" i="15"/>
  <c r="J21" i="15"/>
  <c r="G21" i="15"/>
  <c r="CD19" i="15" s="1"/>
  <c r="CE19" i="15" s="1"/>
  <c r="CC19" i="15"/>
  <c r="CF19" i="15" s="1"/>
  <c r="CG19" i="15" s="1"/>
  <c r="LT4" i="15"/>
  <c r="LV4" i="15"/>
  <c r="JM4" i="15"/>
  <c r="JO4" i="15" s="1"/>
  <c r="JQ4" i="15"/>
  <c r="EW3" i="15"/>
  <c r="FN3" i="15"/>
  <c r="ES3" i="15"/>
  <c r="FJ3" i="15"/>
  <c r="CD9" i="16"/>
  <c r="CM28" i="16" s="1"/>
  <c r="CM4" i="16" s="1"/>
  <c r="CE9" i="16"/>
  <c r="CO28" i="16" s="1"/>
  <c r="R11" i="15"/>
  <c r="R8" i="15"/>
  <c r="IV16" i="16"/>
  <c r="IV14" i="16"/>
  <c r="IV13" i="16"/>
  <c r="IV12" i="16"/>
  <c r="IV11" i="16"/>
  <c r="IV10" i="16"/>
  <c r="IV5" i="16"/>
  <c r="IV4" i="16"/>
  <c r="IV19" i="16"/>
  <c r="IV9" i="16"/>
  <c r="IV26" i="16"/>
  <c r="IV25" i="16"/>
  <c r="IV7" i="16"/>
  <c r="IV6" i="16"/>
  <c r="IV22" i="16"/>
  <c r="IV21" i="16"/>
  <c r="IV20" i="16"/>
  <c r="DM4" i="16"/>
  <c r="CN4" i="16"/>
  <c r="FA7" i="15"/>
  <c r="FC7" i="15" s="1"/>
  <c r="FB7" i="15"/>
  <c r="FB6" i="15"/>
  <c r="FA6" i="15"/>
  <c r="FC6" i="15" s="1"/>
  <c r="FA8" i="15"/>
  <c r="FB8" i="15"/>
  <c r="KH26" i="13"/>
  <c r="MZ34" i="13"/>
  <c r="N24" i="13"/>
  <c r="JA27" i="14"/>
  <c r="JB27" i="14" s="1"/>
  <c r="JK27" i="14"/>
  <c r="JU26" i="14" s="1"/>
  <c r="JB24" i="14"/>
  <c r="JK24" i="14"/>
  <c r="JU23" i="14" s="1"/>
  <c r="JK23" i="14"/>
  <c r="JU22" i="14" s="1"/>
  <c r="JA23" i="14"/>
  <c r="JB23" i="14" s="1"/>
  <c r="IX20" i="14"/>
  <c r="IX19" i="14"/>
  <c r="IX16" i="14"/>
  <c r="EU28" i="14"/>
  <c r="DO28" i="14"/>
  <c r="CL28" i="14"/>
  <c r="CM4" i="14"/>
  <c r="CM27" i="14"/>
  <c r="CM6" i="14"/>
  <c r="BQ28" i="14"/>
  <c r="AV28" i="14"/>
  <c r="AW4" i="14"/>
  <c r="DM4" i="14"/>
  <c r="Q9" i="14"/>
  <c r="Q10" i="14"/>
  <c r="Q13" i="14"/>
  <c r="Q20" i="14"/>
  <c r="Q21" i="14"/>
  <c r="Q5" i="14"/>
  <c r="Q28" i="14" s="1"/>
  <c r="Q6" i="14"/>
  <c r="Q8" i="14"/>
  <c r="Q11" i="14"/>
  <c r="Q12" i="14"/>
  <c r="Q14" i="14"/>
  <c r="Q17" i="14"/>
  <c r="Q24" i="14"/>
  <c r="Q7" i="14"/>
  <c r="Q15" i="14"/>
  <c r="Q16" i="14"/>
  <c r="Q18" i="14"/>
  <c r="Q19" i="14"/>
  <c r="Q23" i="14"/>
  <c r="Q25" i="14"/>
  <c r="Q26" i="14"/>
  <c r="Q27" i="14"/>
  <c r="Q22" i="14"/>
  <c r="G20" i="13"/>
  <c r="CD18" i="13" s="1"/>
  <c r="CE18" i="13" s="1"/>
  <c r="CC18" i="13"/>
  <c r="CF18" i="13" s="1"/>
  <c r="CG18" i="13" s="1"/>
  <c r="IM26" i="13"/>
  <c r="JD26" i="13"/>
  <c r="IW25" i="13"/>
  <c r="MG25" i="13" s="1"/>
  <c r="KR25" i="13"/>
  <c r="JF25" i="13"/>
  <c r="JH25" i="13"/>
  <c r="JP25" i="13"/>
  <c r="JR25" i="13"/>
  <c r="JT25" i="13"/>
  <c r="IW24" i="13"/>
  <c r="MG24" i="13" s="1"/>
  <c r="KR24" i="13"/>
  <c r="JF24" i="13"/>
  <c r="JH24" i="13"/>
  <c r="JN24" i="13"/>
  <c r="JP24" i="13"/>
  <c r="JR24" i="13"/>
  <c r="JT24" i="13"/>
  <c r="JF23" i="13"/>
  <c r="JH23" i="13"/>
  <c r="JN23" i="13"/>
  <c r="JP23" i="13"/>
  <c r="JR23" i="13"/>
  <c r="JT23" i="13"/>
  <c r="IW23" i="13"/>
  <c r="MG23" i="13" s="1"/>
  <c r="KR23" i="13"/>
  <c r="IW22" i="13"/>
  <c r="MG22" i="13" s="1"/>
  <c r="KR22" i="13"/>
  <c r="JF22" i="13"/>
  <c r="JH22" i="13"/>
  <c r="JN22" i="13"/>
  <c r="JP22" i="13"/>
  <c r="JR22" i="13"/>
  <c r="JT22" i="13"/>
  <c r="JF21" i="13"/>
  <c r="JH21" i="13"/>
  <c r="JN21" i="13"/>
  <c r="JP21" i="13"/>
  <c r="JR21" i="13"/>
  <c r="JT21" i="13"/>
  <c r="IW21" i="13"/>
  <c r="MG21" i="13" s="1"/>
  <c r="KR21" i="13"/>
  <c r="JF20" i="13"/>
  <c r="JH20" i="13"/>
  <c r="JN20" i="13"/>
  <c r="JP20" i="13"/>
  <c r="JR20" i="13"/>
  <c r="JT20" i="13"/>
  <c r="IW20" i="13"/>
  <c r="MG20" i="13" s="1"/>
  <c r="KR20" i="13"/>
  <c r="JF19" i="13"/>
  <c r="JH19" i="13"/>
  <c r="JN19" i="13"/>
  <c r="JP19" i="13"/>
  <c r="JR19" i="13"/>
  <c r="JT19" i="13"/>
  <c r="IW19" i="13"/>
  <c r="MG19" i="13" s="1"/>
  <c r="KR19" i="13"/>
  <c r="JF18" i="13"/>
  <c r="JH18" i="13"/>
  <c r="JN18" i="13"/>
  <c r="JP18" i="13"/>
  <c r="JR18" i="13"/>
  <c r="JT18" i="13"/>
  <c r="IW18" i="13"/>
  <c r="MG18" i="13" s="1"/>
  <c r="KR18" i="13"/>
  <c r="JF17" i="13"/>
  <c r="JH17" i="13"/>
  <c r="JN17" i="13"/>
  <c r="JP17" i="13"/>
  <c r="JR17" i="13"/>
  <c r="JT17" i="13"/>
  <c r="IW17" i="13"/>
  <c r="MG17" i="13" s="1"/>
  <c r="KR17" i="13"/>
  <c r="JF16" i="13"/>
  <c r="JH16" i="13"/>
  <c r="JN16" i="13"/>
  <c r="JP16" i="13"/>
  <c r="JR16" i="13"/>
  <c r="JT16" i="13"/>
  <c r="IW16" i="13"/>
  <c r="MG16" i="13" s="1"/>
  <c r="KR16" i="13"/>
  <c r="IW15" i="13"/>
  <c r="MG15" i="13" s="1"/>
  <c r="KR15" i="13"/>
  <c r="JF15" i="13"/>
  <c r="JN15" i="13"/>
  <c r="JR15" i="13"/>
  <c r="JT15" i="13"/>
  <c r="JH15" i="13"/>
  <c r="JP15" i="13"/>
  <c r="JH14" i="13"/>
  <c r="JN14" i="13"/>
  <c r="JR14" i="13"/>
  <c r="JT14" i="13"/>
  <c r="JF14" i="13"/>
  <c r="JP14" i="13"/>
  <c r="IW14" i="13"/>
  <c r="MG14" i="13" s="1"/>
  <c r="KR14" i="13"/>
  <c r="IW13" i="13"/>
  <c r="MG13" i="13" s="1"/>
  <c r="KR13" i="13"/>
  <c r="JH13" i="13"/>
  <c r="JP13" i="13"/>
  <c r="JR13" i="13"/>
  <c r="JT13" i="13"/>
  <c r="JF13" i="13"/>
  <c r="JN13" i="13"/>
  <c r="IW12" i="13"/>
  <c r="MG12" i="13" s="1"/>
  <c r="KR12" i="13"/>
  <c r="JF12" i="13"/>
  <c r="JN12" i="13"/>
  <c r="JR12" i="13"/>
  <c r="JH12" i="13"/>
  <c r="JP12" i="13"/>
  <c r="JT12" i="13"/>
  <c r="JT11" i="13"/>
  <c r="JN11" i="13"/>
  <c r="JH11" i="13"/>
  <c r="JP11" i="13"/>
  <c r="JF11" i="13"/>
  <c r="JR11" i="13"/>
  <c r="IW11" i="13"/>
  <c r="MG11" i="13" s="1"/>
  <c r="KR11" i="13"/>
  <c r="IW10" i="13"/>
  <c r="MG10" i="13" s="1"/>
  <c r="KR10" i="13"/>
  <c r="JF10" i="13"/>
  <c r="JH10" i="13"/>
  <c r="JN10" i="13"/>
  <c r="JP10" i="13"/>
  <c r="JR10" i="13"/>
  <c r="JT10" i="13"/>
  <c r="JF9" i="13"/>
  <c r="JH9" i="13"/>
  <c r="JN9" i="13"/>
  <c r="JP9" i="13"/>
  <c r="JR9" i="13"/>
  <c r="JT9" i="13"/>
  <c r="IW9" i="13"/>
  <c r="MG9" i="13" s="1"/>
  <c r="KR9" i="13"/>
  <c r="NA9" i="13"/>
  <c r="NK9" i="13"/>
  <c r="NL9" i="13" s="1"/>
  <c r="NM9" i="13" s="1"/>
  <c r="IW8" i="13"/>
  <c r="MG8" i="13" s="1"/>
  <c r="KR8" i="13"/>
  <c r="JF8" i="13"/>
  <c r="JH8" i="13"/>
  <c r="JN8" i="13"/>
  <c r="JP8" i="13"/>
  <c r="JR8" i="13"/>
  <c r="JT8" i="13"/>
  <c r="NA8" i="13"/>
  <c r="NC8" i="13"/>
  <c r="NK8" i="13"/>
  <c r="NL8" i="13" s="1"/>
  <c r="NM8" i="13" s="1"/>
  <c r="IW7" i="13"/>
  <c r="MG7" i="13" s="1"/>
  <c r="KR7" i="13"/>
  <c r="JF7" i="13"/>
  <c r="JH7" i="13"/>
  <c r="JN7" i="13"/>
  <c r="JP7" i="13"/>
  <c r="JR7" i="13"/>
  <c r="JT7" i="13"/>
  <c r="NA7" i="13"/>
  <c r="NK7" i="13"/>
  <c r="NL7" i="13" s="1"/>
  <c r="NM7" i="13" s="1"/>
  <c r="KG6" i="13"/>
  <c r="LG7" i="13" s="1"/>
  <c r="KD26" i="13"/>
  <c r="KR6" i="13"/>
  <c r="IO26" i="13"/>
  <c r="IW6" i="13"/>
  <c r="MG6" i="13" s="1"/>
  <c r="JH6" i="13"/>
  <c r="JT6" i="13"/>
  <c r="JF6" i="13"/>
  <c r="JN6" i="13"/>
  <c r="JR6" i="13"/>
  <c r="JP6" i="13"/>
  <c r="JJ27" i="13"/>
  <c r="AJ15" i="13" s="1"/>
  <c r="LM28" i="13"/>
  <c r="K16" i="13"/>
  <c r="AJ17" i="13"/>
  <c r="I7" i="13"/>
  <c r="J7" i="13"/>
  <c r="H9" i="13"/>
  <c r="G7" i="13"/>
  <c r="CD7" i="13" s="1"/>
  <c r="CE7" i="13" s="1"/>
  <c r="CC7" i="13"/>
  <c r="CF7" i="13" s="1"/>
  <c r="CG7" i="13" s="1"/>
  <c r="F9" i="13"/>
  <c r="I21" i="13"/>
  <c r="LT4" i="13"/>
  <c r="LV4" i="13"/>
  <c r="JQ4" i="13"/>
  <c r="JM4" i="13"/>
  <c r="JO4" i="13" s="1"/>
  <c r="EW3" i="13"/>
  <c r="FN3" i="13"/>
  <c r="FJ3" i="13"/>
  <c r="ES3" i="13"/>
  <c r="CM19" i="14"/>
  <c r="CM18" i="14"/>
  <c r="CM17" i="14"/>
  <c r="CM15" i="14"/>
  <c r="CM14" i="14"/>
  <c r="CM13" i="14"/>
  <c r="CM12" i="14"/>
  <c r="CM8" i="14"/>
  <c r="CM9" i="14"/>
  <c r="CM7" i="14"/>
  <c r="CM11" i="14"/>
  <c r="CM10" i="14"/>
  <c r="CM5" i="14"/>
  <c r="CM22" i="14"/>
  <c r="CM20" i="14"/>
  <c r="CM16" i="14"/>
  <c r="CM26" i="14"/>
  <c r="CM25" i="14"/>
  <c r="CM24" i="14"/>
  <c r="CM23" i="14"/>
  <c r="CM21" i="14"/>
  <c r="GN23" i="14"/>
  <c r="GN27" i="14"/>
  <c r="GN24" i="14"/>
  <c r="IV13" i="14"/>
  <c r="IV12" i="14"/>
  <c r="IV7" i="14"/>
  <c r="IV5" i="14"/>
  <c r="IV4" i="14"/>
  <c r="IV21" i="14"/>
  <c r="IV26" i="14"/>
  <c r="IV25" i="14"/>
  <c r="IV9" i="14"/>
  <c r="IV10" i="14"/>
  <c r="IV18" i="14"/>
  <c r="IV11" i="14"/>
  <c r="IV6" i="14"/>
  <c r="IV22" i="14"/>
  <c r="IV14" i="14"/>
  <c r="CN4" i="14"/>
  <c r="DZ4" i="14"/>
  <c r="F21" i="13"/>
  <c r="J21" i="13" s="1"/>
  <c r="J20" i="13"/>
  <c r="FB6" i="13"/>
  <c r="FB8" i="13"/>
  <c r="FA7" i="13"/>
  <c r="FC7" i="13" s="1"/>
  <c r="FA6" i="13"/>
  <c r="FC6" i="13" s="1"/>
  <c r="FB7" i="13"/>
  <c r="FA8" i="13"/>
  <c r="FC8" i="13" s="1"/>
  <c r="MZ34" i="5"/>
  <c r="N24" i="5"/>
  <c r="KH26" i="5"/>
  <c r="CN4" i="8"/>
  <c r="DZ4" i="8"/>
  <c r="DM4" i="8"/>
  <c r="Q5" i="8"/>
  <c r="Q7" i="8"/>
  <c r="Q6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CL27" i="8"/>
  <c r="CM27" i="8" s="1"/>
  <c r="DO27" i="8"/>
  <c r="EU27" i="8"/>
  <c r="BQ27" i="8"/>
  <c r="BR27" i="8" s="1"/>
  <c r="BQ26" i="8"/>
  <c r="BR26" i="8" s="1"/>
  <c r="CL26" i="8"/>
  <c r="CM26" i="8" s="1"/>
  <c r="EU26" i="8"/>
  <c r="DO26" i="8"/>
  <c r="EU25" i="8"/>
  <c r="DO25" i="8"/>
  <c r="CL25" i="8"/>
  <c r="CM25" i="8" s="1"/>
  <c r="BQ25" i="8"/>
  <c r="BR25" i="8" s="1"/>
  <c r="DO24" i="8"/>
  <c r="CL24" i="8"/>
  <c r="CM24" i="8" s="1"/>
  <c r="BQ24" i="8"/>
  <c r="BR24" i="8" s="1"/>
  <c r="EU24" i="8"/>
  <c r="DO23" i="8"/>
  <c r="EU23" i="8"/>
  <c r="CL23" i="8"/>
  <c r="CM23" i="8" s="1"/>
  <c r="BQ23" i="8"/>
  <c r="BR23" i="8" s="1"/>
  <c r="EU22" i="8"/>
  <c r="CL22" i="8"/>
  <c r="CM22" i="8" s="1"/>
  <c r="DO22" i="8"/>
  <c r="BQ22" i="8"/>
  <c r="BR22" i="8" s="1"/>
  <c r="DO21" i="8"/>
  <c r="CL21" i="8"/>
  <c r="CM21" i="8" s="1"/>
  <c r="EU21" i="8"/>
  <c r="BQ21" i="8"/>
  <c r="BR21" i="8" s="1"/>
  <c r="EU20" i="8"/>
  <c r="DO20" i="8"/>
  <c r="CL20" i="8"/>
  <c r="CM20" i="8" s="1"/>
  <c r="BQ20" i="8"/>
  <c r="BR20" i="8" s="1"/>
  <c r="DO19" i="8"/>
  <c r="CL19" i="8"/>
  <c r="CM19" i="8" s="1"/>
  <c r="EU19" i="8"/>
  <c r="BQ19" i="8"/>
  <c r="BR19" i="8" s="1"/>
  <c r="EU18" i="8"/>
  <c r="DO18" i="8"/>
  <c r="CL18" i="8"/>
  <c r="CM18" i="8" s="1"/>
  <c r="BQ18" i="8"/>
  <c r="BR18" i="8" s="1"/>
  <c r="EU17" i="8"/>
  <c r="CL17" i="8"/>
  <c r="CM17" i="8" s="1"/>
  <c r="DO17" i="8"/>
  <c r="BQ17" i="8"/>
  <c r="BR17" i="8" s="1"/>
  <c r="DO16" i="8"/>
  <c r="EU16" i="8"/>
  <c r="CL16" i="8"/>
  <c r="CM16" i="8" s="1"/>
  <c r="BQ16" i="8"/>
  <c r="BR16" i="8" s="1"/>
  <c r="CL15" i="8"/>
  <c r="CM15" i="8" s="1"/>
  <c r="EU15" i="8"/>
  <c r="DO15" i="8"/>
  <c r="BQ15" i="8"/>
  <c r="BR15" i="8" s="1"/>
  <c r="DO14" i="8"/>
  <c r="CL14" i="8"/>
  <c r="CM14" i="8" s="1"/>
  <c r="EU14" i="8"/>
  <c r="BQ14" i="8"/>
  <c r="BR14" i="8" s="1"/>
  <c r="CL13" i="8"/>
  <c r="CM13" i="8" s="1"/>
  <c r="DO13" i="8"/>
  <c r="EU13" i="8"/>
  <c r="BQ13" i="8"/>
  <c r="BR13" i="8" s="1"/>
  <c r="EU12" i="8"/>
  <c r="DO12" i="8"/>
  <c r="CL12" i="8"/>
  <c r="CM12" i="8" s="1"/>
  <c r="BQ12" i="8"/>
  <c r="BR12" i="8" s="1"/>
  <c r="DO11" i="8"/>
  <c r="EU11" i="8"/>
  <c r="CL11" i="8"/>
  <c r="CM11" i="8" s="1"/>
  <c r="BQ11" i="8"/>
  <c r="BR11" i="8" s="1"/>
  <c r="DO10" i="8"/>
  <c r="CL10" i="8"/>
  <c r="CM10" i="8" s="1"/>
  <c r="EU10" i="8"/>
  <c r="BQ10" i="8"/>
  <c r="BR10" i="8" s="1"/>
  <c r="EU9" i="8"/>
  <c r="DO9" i="8"/>
  <c r="CL9" i="8"/>
  <c r="CM9" i="8" s="1"/>
  <c r="BQ9" i="8"/>
  <c r="BR9" i="8" s="1"/>
  <c r="DO8" i="8"/>
  <c r="EU8" i="8"/>
  <c r="CL8" i="8"/>
  <c r="CM8" i="8" s="1"/>
  <c r="BQ8" i="8"/>
  <c r="BR8" i="8" s="1"/>
  <c r="CL7" i="8"/>
  <c r="CM7" i="8" s="1"/>
  <c r="DO7" i="8"/>
  <c r="EU7" i="8"/>
  <c r="BQ7" i="8"/>
  <c r="BR7" i="8" s="1"/>
  <c r="CL6" i="8"/>
  <c r="CM6" i="8" s="1"/>
  <c r="DO6" i="8"/>
  <c r="EU6" i="8"/>
  <c r="BQ6" i="8"/>
  <c r="BR6" i="8" s="1"/>
  <c r="CL5" i="8"/>
  <c r="CM5" i="8" s="1"/>
  <c r="EU5" i="8"/>
  <c r="DO5" i="8"/>
  <c r="BQ5" i="8"/>
  <c r="BR5" i="8" s="1"/>
  <c r="EU4" i="8"/>
  <c r="DO4" i="8"/>
  <c r="CL4" i="8"/>
  <c r="BQ4" i="8"/>
  <c r="ND34" i="5"/>
  <c r="NK34" i="5"/>
  <c r="NL34" i="5" s="1"/>
  <c r="NM34" i="5" s="1"/>
  <c r="NA31" i="5"/>
  <c r="IE4" i="8"/>
  <c r="IK4" i="8"/>
  <c r="IV6" i="8" s="1"/>
  <c r="IW6" i="8" s="1"/>
  <c r="AW14" i="8"/>
  <c r="AW26" i="8"/>
  <c r="AW25" i="8"/>
  <c r="AW9" i="8"/>
  <c r="AW27" i="8"/>
  <c r="AW18" i="8"/>
  <c r="AW17" i="8"/>
  <c r="AW16" i="8"/>
  <c r="AW15" i="8"/>
  <c r="AW23" i="8"/>
  <c r="AW22" i="8"/>
  <c r="AW8" i="8"/>
  <c r="AW7" i="8"/>
  <c r="AW4" i="8"/>
  <c r="AW24" i="8"/>
  <c r="AW20" i="8"/>
  <c r="AW12" i="8"/>
  <c r="AW11" i="8"/>
  <c r="AW6" i="8"/>
  <c r="AW21" i="8"/>
  <c r="AW19" i="8"/>
  <c r="AW13" i="8"/>
  <c r="AW10" i="8"/>
  <c r="CR24" i="8"/>
  <c r="GL24" i="8" s="1"/>
  <c r="CR23" i="8"/>
  <c r="GL23" i="8" s="1"/>
  <c r="CR27" i="8"/>
  <c r="GL27" i="8" s="1"/>
  <c r="O8" i="5"/>
  <c r="R8" i="5" s="1"/>
  <c r="O9" i="5"/>
  <c r="R9" i="5" s="1"/>
  <c r="O11" i="5"/>
  <c r="R11" i="5" s="1"/>
  <c r="O16" i="5"/>
  <c r="R16" i="5" s="1"/>
  <c r="O17" i="5"/>
  <c r="R17" i="5" s="1"/>
  <c r="AJ20" i="5"/>
  <c r="CR4" i="20" l="1"/>
  <c r="GL4" i="20" s="1"/>
  <c r="FW4" i="20"/>
  <c r="AW6" i="20"/>
  <c r="AW8" i="20"/>
  <c r="AW18" i="20"/>
  <c r="AW5" i="20"/>
  <c r="AW28" i="20" s="1"/>
  <c r="AW7" i="20"/>
  <c r="AW22" i="20"/>
  <c r="AW23" i="20"/>
  <c r="AW25" i="20"/>
  <c r="AW26" i="20"/>
  <c r="AW9" i="20"/>
  <c r="AW10" i="20"/>
  <c r="AW11" i="20"/>
  <c r="AW12" i="20"/>
  <c r="AW13" i="20"/>
  <c r="AW14" i="20"/>
  <c r="AW19" i="20"/>
  <c r="AW20" i="20"/>
  <c r="AW21" i="20"/>
  <c r="AW16" i="20"/>
  <c r="AW17" i="20"/>
  <c r="AW27" i="20"/>
  <c r="AW15" i="20"/>
  <c r="AW24" i="20"/>
  <c r="CN6" i="20"/>
  <c r="CO6" i="20" s="1"/>
  <c r="DM6" i="20"/>
  <c r="DZ6" i="20"/>
  <c r="CN10" i="20"/>
  <c r="CO10" i="20" s="1"/>
  <c r="DM10" i="20"/>
  <c r="DZ10" i="20"/>
  <c r="CN7" i="20"/>
  <c r="CO7" i="20" s="1"/>
  <c r="DM7" i="20"/>
  <c r="DZ7" i="20"/>
  <c r="CN14" i="20"/>
  <c r="CO14" i="20" s="1"/>
  <c r="DM14" i="20"/>
  <c r="DZ14" i="20"/>
  <c r="DM18" i="20"/>
  <c r="CN18" i="20"/>
  <c r="CO18" i="20" s="1"/>
  <c r="DZ18" i="20"/>
  <c r="DM23" i="20"/>
  <c r="CN23" i="20"/>
  <c r="CO23" i="20" s="1"/>
  <c r="DZ23" i="20"/>
  <c r="CN27" i="20"/>
  <c r="CO27" i="20" s="1"/>
  <c r="DM27" i="20"/>
  <c r="DZ27" i="20"/>
  <c r="CN11" i="20"/>
  <c r="CO11" i="20" s="1"/>
  <c r="DM11" i="20"/>
  <c r="DZ11" i="20"/>
  <c r="CN15" i="20"/>
  <c r="CO15" i="20" s="1"/>
  <c r="DM15" i="20"/>
  <c r="DZ15" i="20"/>
  <c r="DM16" i="20"/>
  <c r="CN16" i="20"/>
  <c r="CO16" i="20" s="1"/>
  <c r="DZ16" i="20"/>
  <c r="CN19" i="20"/>
  <c r="CO19" i="20" s="1"/>
  <c r="DM19" i="20"/>
  <c r="DZ19" i="20"/>
  <c r="CN20" i="20"/>
  <c r="CO20" i="20" s="1"/>
  <c r="DM20" i="20"/>
  <c r="DZ20" i="20"/>
  <c r="DM5" i="20"/>
  <c r="CN5" i="20"/>
  <c r="Q28" i="20"/>
  <c r="DZ5" i="20"/>
  <c r="CN9" i="20"/>
  <c r="CO9" i="20" s="1"/>
  <c r="DM9" i="20"/>
  <c r="DZ9" i="20"/>
  <c r="CN12" i="20"/>
  <c r="CO12" i="20" s="1"/>
  <c r="DM12" i="20"/>
  <c r="DZ12" i="20"/>
  <c r="CN13" i="20"/>
  <c r="CO13" i="20" s="1"/>
  <c r="DM13" i="20"/>
  <c r="DZ13" i="20"/>
  <c r="CN21" i="20"/>
  <c r="CO21" i="20" s="1"/>
  <c r="DZ21" i="20"/>
  <c r="DM21" i="20"/>
  <c r="CN22" i="20"/>
  <c r="CO22" i="20" s="1"/>
  <c r="DM22" i="20"/>
  <c r="DZ22" i="20"/>
  <c r="DM26" i="20"/>
  <c r="CN26" i="20"/>
  <c r="CO26" i="20" s="1"/>
  <c r="DZ26" i="20"/>
  <c r="DM8" i="20"/>
  <c r="CN8" i="20"/>
  <c r="CO8" i="20" s="1"/>
  <c r="DZ8" i="20"/>
  <c r="DM17" i="20"/>
  <c r="CN17" i="20"/>
  <c r="CO17" i="20" s="1"/>
  <c r="DZ17" i="20"/>
  <c r="DM24" i="20"/>
  <c r="CN24" i="20"/>
  <c r="CO24" i="20" s="1"/>
  <c r="DZ24" i="20"/>
  <c r="CN25" i="20"/>
  <c r="CO25" i="20" s="1"/>
  <c r="DM25" i="20"/>
  <c r="DZ25" i="20"/>
  <c r="ND11" i="19"/>
  <c r="ND23" i="19"/>
  <c r="P7" i="19"/>
  <c r="L7" i="19"/>
  <c r="M7" i="19"/>
  <c r="JV25" i="19"/>
  <c r="LJ26" i="19"/>
  <c r="LZ26" i="19" s="1"/>
  <c r="KZ25" i="19"/>
  <c r="KZ24" i="19"/>
  <c r="JV24" i="19"/>
  <c r="LJ25" i="19"/>
  <c r="LZ25" i="19" s="1"/>
  <c r="KZ23" i="19"/>
  <c r="LJ24" i="19"/>
  <c r="LZ24" i="19" s="1"/>
  <c r="JV23" i="19"/>
  <c r="KZ22" i="19"/>
  <c r="JV22" i="19"/>
  <c r="LJ23" i="19"/>
  <c r="LZ23" i="19" s="1"/>
  <c r="JV21" i="19"/>
  <c r="LJ22" i="19"/>
  <c r="LZ22" i="19" s="1"/>
  <c r="KZ21" i="19"/>
  <c r="KZ20" i="19"/>
  <c r="JV20" i="19"/>
  <c r="LJ21" i="19"/>
  <c r="LZ21" i="19" s="1"/>
  <c r="KZ19" i="19"/>
  <c r="JV19" i="19"/>
  <c r="LJ20" i="19"/>
  <c r="LZ20" i="19" s="1"/>
  <c r="KZ18" i="19"/>
  <c r="JV18" i="19"/>
  <c r="LJ19" i="19"/>
  <c r="LZ19" i="19" s="1"/>
  <c r="JV17" i="19"/>
  <c r="LJ18" i="19"/>
  <c r="LZ18" i="19" s="1"/>
  <c r="KZ17" i="19"/>
  <c r="JV16" i="19"/>
  <c r="LJ17" i="19"/>
  <c r="LZ17" i="19" s="1"/>
  <c r="KZ16" i="19"/>
  <c r="KZ15" i="19"/>
  <c r="JV15" i="19"/>
  <c r="LJ16" i="19"/>
  <c r="LZ16" i="19" s="1"/>
  <c r="KZ14" i="19"/>
  <c r="JV14" i="19"/>
  <c r="LJ15" i="19"/>
  <c r="LZ15" i="19" s="1"/>
  <c r="I7" i="19"/>
  <c r="J7" i="19"/>
  <c r="H9" i="19"/>
  <c r="Q7" i="19"/>
  <c r="G7" i="19"/>
  <c r="CC7" i="19"/>
  <c r="CF7" i="19" s="1"/>
  <c r="CG7" i="19" s="1"/>
  <c r="F9" i="19"/>
  <c r="JW13" i="19"/>
  <c r="MJ13" i="19"/>
  <c r="MM13" i="19" s="1"/>
  <c r="LY14" i="19"/>
  <c r="KZ12" i="19"/>
  <c r="JV12" i="19"/>
  <c r="LJ13" i="19"/>
  <c r="LZ13" i="19" s="1"/>
  <c r="KZ11" i="19"/>
  <c r="JV11" i="19"/>
  <c r="LJ12" i="19"/>
  <c r="LZ12" i="19" s="1"/>
  <c r="JV10" i="19"/>
  <c r="LJ11" i="19"/>
  <c r="LZ11" i="19" s="1"/>
  <c r="KZ10" i="19"/>
  <c r="KZ9" i="19"/>
  <c r="JV9" i="19"/>
  <c r="LJ10" i="19"/>
  <c r="LZ10" i="19" s="1"/>
  <c r="JV8" i="19"/>
  <c r="LJ9" i="19"/>
  <c r="LZ9" i="19" s="1"/>
  <c r="KZ8" i="19"/>
  <c r="ND8" i="19"/>
  <c r="KZ7" i="19"/>
  <c r="JV7" i="19"/>
  <c r="LJ8" i="19"/>
  <c r="LZ8" i="19" s="1"/>
  <c r="O17" i="19"/>
  <c r="R17" i="19" s="1"/>
  <c r="P17" i="19"/>
  <c r="Q17" i="19"/>
  <c r="MZ17" i="19"/>
  <c r="ND35" i="19"/>
  <c r="NK35" i="19"/>
  <c r="NL35" i="19" s="1"/>
  <c r="NM35" i="19" s="1"/>
  <c r="Q25" i="19"/>
  <c r="R25" i="19"/>
  <c r="JV6" i="19"/>
  <c r="LJ7" i="19"/>
  <c r="JF26" i="19"/>
  <c r="LL7" i="19"/>
  <c r="LL27" i="19" s="1"/>
  <c r="JH26" i="19"/>
  <c r="LR7" i="19"/>
  <c r="LR27" i="19" s="1"/>
  <c r="JN26" i="19"/>
  <c r="LT7" i="19"/>
  <c r="LT27" i="19" s="1"/>
  <c r="JP26" i="19"/>
  <c r="LV7" i="19"/>
  <c r="LV27" i="19" s="1"/>
  <c r="JR26" i="19"/>
  <c r="LX7" i="19"/>
  <c r="LX27" i="19" s="1"/>
  <c r="JT26" i="19"/>
  <c r="MG26" i="19"/>
  <c r="KZ6" i="19"/>
  <c r="KR26" i="19"/>
  <c r="KZ26" i="19" s="1"/>
  <c r="IW26" i="19"/>
  <c r="IW27" i="19" s="1"/>
  <c r="IO27" i="19"/>
  <c r="K10" i="19"/>
  <c r="BH6" i="20"/>
  <c r="BS28" i="20"/>
  <c r="BT28" i="20" s="1"/>
  <c r="O16" i="19"/>
  <c r="R16" i="19" s="1"/>
  <c r="P16" i="19"/>
  <c r="Q16" i="19"/>
  <c r="MZ16" i="19"/>
  <c r="AJ19" i="19"/>
  <c r="AJ16" i="19"/>
  <c r="L16" i="19"/>
  <c r="M16" i="19"/>
  <c r="LX4" i="19"/>
  <c r="KU4" i="19"/>
  <c r="KW4" i="19" s="1"/>
  <c r="JS4" i="19"/>
  <c r="IP4" i="19"/>
  <c r="IR4" i="19" s="1"/>
  <c r="IT4" i="19" s="1"/>
  <c r="GB3" i="19"/>
  <c r="GO3" i="19" s="1"/>
  <c r="HB3" i="19"/>
  <c r="HO3" i="19" s="1"/>
  <c r="FX3" i="19"/>
  <c r="GK3" i="19" s="1"/>
  <c r="GX3" i="19"/>
  <c r="HK3" i="19" s="1"/>
  <c r="CM6" i="20"/>
  <c r="CM7" i="20"/>
  <c r="CM9" i="20"/>
  <c r="CM10" i="20"/>
  <c r="CM11" i="20"/>
  <c r="CM12" i="20"/>
  <c r="CM13" i="20"/>
  <c r="CM5" i="20"/>
  <c r="CM19" i="20"/>
  <c r="CM20" i="20"/>
  <c r="CM17" i="20"/>
  <c r="CM18" i="20"/>
  <c r="CM25" i="20"/>
  <c r="CM26" i="20"/>
  <c r="CM27" i="20"/>
  <c r="CM16" i="20"/>
  <c r="CM8" i="20"/>
  <c r="CM14" i="20"/>
  <c r="CM15" i="20"/>
  <c r="CM21" i="20"/>
  <c r="CM22" i="20"/>
  <c r="CM23" i="20"/>
  <c r="CM24" i="20"/>
  <c r="IV28" i="20"/>
  <c r="IW28" i="20" s="1"/>
  <c r="IX4" i="20"/>
  <c r="IW4" i="20"/>
  <c r="IX9" i="20"/>
  <c r="IW9" i="20"/>
  <c r="IX10" i="20"/>
  <c r="IW10" i="20"/>
  <c r="IX11" i="20"/>
  <c r="IW11" i="20"/>
  <c r="IX14" i="20"/>
  <c r="IW14" i="20"/>
  <c r="IX26" i="20"/>
  <c r="IW26" i="20"/>
  <c r="IX12" i="20"/>
  <c r="IW12" i="20"/>
  <c r="IX13" i="20"/>
  <c r="IW13" i="20"/>
  <c r="IX6" i="20"/>
  <c r="IW6" i="20"/>
  <c r="IX16" i="20"/>
  <c r="IW16" i="20"/>
  <c r="IX18" i="20"/>
  <c r="IW18" i="20"/>
  <c r="IX7" i="20"/>
  <c r="IW7" i="20"/>
  <c r="IX5" i="20"/>
  <c r="IW5" i="20"/>
  <c r="IX19" i="20"/>
  <c r="IW19" i="20"/>
  <c r="IX20" i="20"/>
  <c r="IW20" i="20"/>
  <c r="IX22" i="20"/>
  <c r="IW22" i="20"/>
  <c r="IX21" i="20"/>
  <c r="IW21" i="20"/>
  <c r="IX25" i="20"/>
  <c r="IW25" i="20"/>
  <c r="LL26" i="19"/>
  <c r="LT26" i="19"/>
  <c r="LV26" i="19"/>
  <c r="LX26" i="19"/>
  <c r="LL25" i="19"/>
  <c r="LR25" i="19"/>
  <c r="LV25" i="19"/>
  <c r="LT25" i="19"/>
  <c r="LX25" i="19"/>
  <c r="LL24" i="19"/>
  <c r="LV24" i="19"/>
  <c r="LR24" i="19"/>
  <c r="LT24" i="19"/>
  <c r="LX24" i="19"/>
  <c r="LV23" i="19"/>
  <c r="LX23" i="19"/>
  <c r="LT23" i="19"/>
  <c r="LL23" i="19"/>
  <c r="LR23" i="19"/>
  <c r="LT22" i="19"/>
  <c r="LR22" i="19"/>
  <c r="LV22" i="19"/>
  <c r="LX22" i="19"/>
  <c r="LL22" i="19"/>
  <c r="LL21" i="19"/>
  <c r="LR21" i="19"/>
  <c r="LT21" i="19"/>
  <c r="LV21" i="19"/>
  <c r="LX21" i="19"/>
  <c r="LL20" i="19"/>
  <c r="LR20" i="19"/>
  <c r="LT20" i="19"/>
  <c r="LV20" i="19"/>
  <c r="LX20" i="19"/>
  <c r="LL19" i="19"/>
  <c r="LR19" i="19"/>
  <c r="LT19" i="19"/>
  <c r="LV19" i="19"/>
  <c r="LX19" i="19"/>
  <c r="LL18" i="19"/>
  <c r="LR18" i="19"/>
  <c r="LT18" i="19"/>
  <c r="LV18" i="19"/>
  <c r="LX18" i="19"/>
  <c r="LL17" i="19"/>
  <c r="LR17" i="19"/>
  <c r="LT17" i="19"/>
  <c r="LV17" i="19"/>
  <c r="LX17" i="19"/>
  <c r="LL16" i="19"/>
  <c r="LR16" i="19"/>
  <c r="LT16" i="19"/>
  <c r="LV16" i="19"/>
  <c r="LX16" i="19"/>
  <c r="LL15" i="19"/>
  <c r="LR15" i="19"/>
  <c r="LT15" i="19"/>
  <c r="LV15" i="19"/>
  <c r="LX15" i="19"/>
  <c r="LZ14" i="19"/>
  <c r="LL8" i="19"/>
  <c r="LT8" i="19"/>
  <c r="LV8" i="19"/>
  <c r="LL13" i="19"/>
  <c r="LL11" i="19"/>
  <c r="LR11" i="19"/>
  <c r="LT11" i="19"/>
  <c r="LV11" i="19"/>
  <c r="LX11" i="19"/>
  <c r="LL10" i="19"/>
  <c r="LR10" i="19"/>
  <c r="LT10" i="19"/>
  <c r="LV10" i="19"/>
  <c r="LX10" i="19"/>
  <c r="LL9" i="19"/>
  <c r="LR9" i="19"/>
  <c r="LT9" i="19"/>
  <c r="LV9" i="19"/>
  <c r="LX9" i="19"/>
  <c r="LR8" i="19"/>
  <c r="LX8" i="19"/>
  <c r="IV25" i="18"/>
  <c r="IV5" i="18"/>
  <c r="IV19" i="18"/>
  <c r="IV6" i="18"/>
  <c r="IV13" i="18"/>
  <c r="IV20" i="18"/>
  <c r="IV21" i="18"/>
  <c r="IV4" i="18"/>
  <c r="IV7" i="18"/>
  <c r="IV9" i="18"/>
  <c r="IV10" i="18"/>
  <c r="IV11" i="18"/>
  <c r="IV12" i="18"/>
  <c r="IV14" i="18"/>
  <c r="IV16" i="18"/>
  <c r="IV18" i="18"/>
  <c r="IV22" i="18"/>
  <c r="IV26" i="18"/>
  <c r="AW6" i="18"/>
  <c r="AW8" i="18"/>
  <c r="AW20" i="18"/>
  <c r="AW21" i="18"/>
  <c r="AW26" i="18"/>
  <c r="AW27" i="18"/>
  <c r="AW5" i="18"/>
  <c r="AW28" i="18" s="1"/>
  <c r="AW9" i="18"/>
  <c r="AW10" i="18"/>
  <c r="AW11" i="18"/>
  <c r="AW12" i="18"/>
  <c r="AW13" i="18"/>
  <c r="AW14" i="18"/>
  <c r="AW15" i="18"/>
  <c r="AW16" i="18"/>
  <c r="AW17" i="18"/>
  <c r="AW18" i="18"/>
  <c r="AW19" i="18"/>
  <c r="AW22" i="18"/>
  <c r="AW23" i="18"/>
  <c r="AW24" i="18"/>
  <c r="AW25" i="18"/>
  <c r="AW7" i="18"/>
  <c r="CN9" i="18"/>
  <c r="CO9" i="18" s="1"/>
  <c r="CP9" i="18" s="1"/>
  <c r="DM9" i="18"/>
  <c r="DZ9" i="18"/>
  <c r="CN12" i="18"/>
  <c r="CO12" i="18" s="1"/>
  <c r="CP12" i="18" s="1"/>
  <c r="DM12" i="18"/>
  <c r="DZ12" i="18"/>
  <c r="DM19" i="18"/>
  <c r="CN19" i="18"/>
  <c r="CO19" i="18" s="1"/>
  <c r="CP19" i="18" s="1"/>
  <c r="DZ19" i="18"/>
  <c r="CN21" i="18"/>
  <c r="CO21" i="18" s="1"/>
  <c r="CP21" i="18" s="1"/>
  <c r="DM21" i="18"/>
  <c r="DZ21" i="18"/>
  <c r="CN22" i="18"/>
  <c r="CO22" i="18" s="1"/>
  <c r="CP22" i="18" s="1"/>
  <c r="DM22" i="18"/>
  <c r="DZ22" i="18"/>
  <c r="CN7" i="18"/>
  <c r="CO7" i="18" s="1"/>
  <c r="CP7" i="18" s="1"/>
  <c r="DM7" i="18"/>
  <c r="DZ7" i="18"/>
  <c r="DM13" i="18"/>
  <c r="CN13" i="18"/>
  <c r="CO13" i="18" s="1"/>
  <c r="CP13" i="18" s="1"/>
  <c r="DZ13" i="18"/>
  <c r="CN14" i="18"/>
  <c r="CO14" i="18" s="1"/>
  <c r="CP14" i="18" s="1"/>
  <c r="DM14" i="18"/>
  <c r="DZ14" i="18"/>
  <c r="CN15" i="18"/>
  <c r="CO15" i="18" s="1"/>
  <c r="CP15" i="18" s="1"/>
  <c r="DM15" i="18"/>
  <c r="DZ15" i="18"/>
  <c r="CN16" i="18"/>
  <c r="CO16" i="18" s="1"/>
  <c r="CP16" i="18" s="1"/>
  <c r="DM16" i="18"/>
  <c r="DZ16" i="18"/>
  <c r="CN17" i="18"/>
  <c r="CO17" i="18" s="1"/>
  <c r="CP17" i="18" s="1"/>
  <c r="DM17" i="18"/>
  <c r="DZ17" i="18"/>
  <c r="CN18" i="18"/>
  <c r="CO18" i="18" s="1"/>
  <c r="CP18" i="18" s="1"/>
  <c r="DM18" i="18"/>
  <c r="DZ18" i="18"/>
  <c r="CN20" i="18"/>
  <c r="CO20" i="18" s="1"/>
  <c r="CP20" i="18" s="1"/>
  <c r="DM20" i="18"/>
  <c r="DZ20" i="18"/>
  <c r="CN27" i="18"/>
  <c r="CO27" i="18" s="1"/>
  <c r="CP27" i="18" s="1"/>
  <c r="DZ27" i="18"/>
  <c r="DM27" i="18"/>
  <c r="CN6" i="18"/>
  <c r="CO6" i="18" s="1"/>
  <c r="CP6" i="18" s="1"/>
  <c r="DM6" i="18"/>
  <c r="DZ6" i="18"/>
  <c r="DM8" i="18"/>
  <c r="CN8" i="18"/>
  <c r="CO8" i="18" s="1"/>
  <c r="CP8" i="18" s="1"/>
  <c r="DZ8" i="18"/>
  <c r="CN10" i="18"/>
  <c r="CO10" i="18" s="1"/>
  <c r="CP10" i="18" s="1"/>
  <c r="DM10" i="18"/>
  <c r="DZ10" i="18"/>
  <c r="CN11" i="18"/>
  <c r="CO11" i="18" s="1"/>
  <c r="CP11" i="18" s="1"/>
  <c r="DM11" i="18"/>
  <c r="DZ11" i="18"/>
  <c r="DM23" i="18"/>
  <c r="DZ23" i="18"/>
  <c r="CN23" i="18"/>
  <c r="CO23" i="18" s="1"/>
  <c r="CP23" i="18" s="1"/>
  <c r="CN24" i="18"/>
  <c r="CO24" i="18" s="1"/>
  <c r="CP24" i="18" s="1"/>
  <c r="DM24" i="18"/>
  <c r="DZ24" i="18"/>
  <c r="CN25" i="18"/>
  <c r="CO25" i="18" s="1"/>
  <c r="CP25" i="18" s="1"/>
  <c r="DM25" i="18"/>
  <c r="DZ25" i="18"/>
  <c r="DM26" i="18"/>
  <c r="CN26" i="18"/>
  <c r="CO26" i="18" s="1"/>
  <c r="CP26" i="18" s="1"/>
  <c r="DZ26" i="18"/>
  <c r="DM5" i="18"/>
  <c r="CN5" i="18"/>
  <c r="CO5" i="18" s="1"/>
  <c r="CP5" i="18" s="1"/>
  <c r="DZ5" i="18"/>
  <c r="ND11" i="17"/>
  <c r="ND23" i="17"/>
  <c r="JV25" i="17"/>
  <c r="LJ26" i="17"/>
  <c r="LZ26" i="17" s="1"/>
  <c r="KZ25" i="17"/>
  <c r="JV24" i="17"/>
  <c r="LJ25" i="17"/>
  <c r="LZ25" i="17" s="1"/>
  <c r="KZ24" i="17"/>
  <c r="KZ23" i="17"/>
  <c r="JV23" i="17"/>
  <c r="LJ24" i="17"/>
  <c r="LZ24" i="17" s="1"/>
  <c r="JV22" i="17"/>
  <c r="LJ23" i="17"/>
  <c r="LZ23" i="17" s="1"/>
  <c r="KZ22" i="17"/>
  <c r="KZ21" i="17"/>
  <c r="JV21" i="17"/>
  <c r="LJ22" i="17"/>
  <c r="LZ22" i="17" s="1"/>
  <c r="JV20" i="17"/>
  <c r="LJ21" i="17"/>
  <c r="LZ21" i="17" s="1"/>
  <c r="KZ20" i="17"/>
  <c r="KZ19" i="17"/>
  <c r="JV19" i="17"/>
  <c r="LJ20" i="17"/>
  <c r="LZ20" i="17" s="1"/>
  <c r="JV18" i="17"/>
  <c r="LJ19" i="17"/>
  <c r="LZ19" i="17" s="1"/>
  <c r="KZ18" i="17"/>
  <c r="JV17" i="17"/>
  <c r="LJ18" i="17"/>
  <c r="LZ18" i="17" s="1"/>
  <c r="KZ17" i="17"/>
  <c r="KZ16" i="17"/>
  <c r="JV16" i="17"/>
  <c r="LJ17" i="17"/>
  <c r="LZ17" i="17" s="1"/>
  <c r="KZ15" i="17"/>
  <c r="JV15" i="17"/>
  <c r="LJ16" i="17"/>
  <c r="LZ16" i="17" s="1"/>
  <c r="JV14" i="17"/>
  <c r="LJ15" i="17"/>
  <c r="LZ15" i="17" s="1"/>
  <c r="KZ14" i="17"/>
  <c r="KZ13" i="17"/>
  <c r="JV13" i="17"/>
  <c r="LJ14" i="17"/>
  <c r="LZ14" i="17" s="1"/>
  <c r="KZ12" i="17"/>
  <c r="JV12" i="17"/>
  <c r="LJ13" i="17"/>
  <c r="LZ13" i="17" s="1"/>
  <c r="KZ11" i="17"/>
  <c r="JV11" i="17"/>
  <c r="LJ12" i="17"/>
  <c r="LZ12" i="17" s="1"/>
  <c r="KZ10" i="17"/>
  <c r="JV10" i="17"/>
  <c r="LJ11" i="17"/>
  <c r="LZ11" i="17" s="1"/>
  <c r="JV9" i="17"/>
  <c r="LJ10" i="17"/>
  <c r="LZ10" i="17" s="1"/>
  <c r="KZ9" i="17"/>
  <c r="KZ8" i="17"/>
  <c r="JV8" i="17"/>
  <c r="LJ9" i="17"/>
  <c r="LZ9" i="17" s="1"/>
  <c r="ND8" i="17"/>
  <c r="JV7" i="17"/>
  <c r="LJ8" i="17"/>
  <c r="LZ8" i="17" s="1"/>
  <c r="KZ7" i="17"/>
  <c r="LN7" i="17"/>
  <c r="LN27" i="17" s="1"/>
  <c r="LP7" i="17"/>
  <c r="LP27" i="17" s="1"/>
  <c r="KG26" i="17"/>
  <c r="LG27" i="17" s="1"/>
  <c r="MZ35" i="17"/>
  <c r="N25" i="17"/>
  <c r="MG26" i="17"/>
  <c r="KZ6" i="17"/>
  <c r="KR26" i="17"/>
  <c r="KZ26" i="17" s="1"/>
  <c r="IW26" i="17"/>
  <c r="IW27" i="17" s="1"/>
  <c r="IO27" i="17"/>
  <c r="K10" i="17"/>
  <c r="JV6" i="17"/>
  <c r="LJ7" i="17"/>
  <c r="JF26" i="17"/>
  <c r="LL7" i="17"/>
  <c r="LL27" i="17" s="1"/>
  <c r="JH26" i="17"/>
  <c r="LR7" i="17"/>
  <c r="LR27" i="17" s="1"/>
  <c r="JN26" i="17"/>
  <c r="LT7" i="17"/>
  <c r="LT27" i="17" s="1"/>
  <c r="JP26" i="17"/>
  <c r="LV7" i="17"/>
  <c r="LV27" i="17" s="1"/>
  <c r="JR26" i="17"/>
  <c r="LX7" i="17"/>
  <c r="LX27" i="17" s="1"/>
  <c r="JT26" i="17"/>
  <c r="AJ19" i="17"/>
  <c r="AJ20" i="17" s="1"/>
  <c r="AJ16" i="17"/>
  <c r="L16" i="17"/>
  <c r="M16" i="17"/>
  <c r="LX4" i="17"/>
  <c r="KU4" i="17"/>
  <c r="KW4" i="17" s="1"/>
  <c r="IP4" i="17"/>
  <c r="IR4" i="17" s="1"/>
  <c r="IT4" i="17" s="1"/>
  <c r="JS4" i="17"/>
  <c r="GB3" i="17"/>
  <c r="GO3" i="17" s="1"/>
  <c r="HB3" i="17"/>
  <c r="HO3" i="17" s="1"/>
  <c r="FX3" i="17"/>
  <c r="GK3" i="17" s="1"/>
  <c r="GX3" i="17"/>
  <c r="HK3" i="17" s="1"/>
  <c r="CN28" i="18"/>
  <c r="CO4" i="18"/>
  <c r="CP4" i="18" s="1"/>
  <c r="DZ28" i="18"/>
  <c r="DM28" i="18"/>
  <c r="CC19" i="17"/>
  <c r="CF19" i="17" s="1"/>
  <c r="CG19" i="17" s="1"/>
  <c r="G21" i="17"/>
  <c r="CD19" i="17" s="1"/>
  <c r="CE19" i="17" s="1"/>
  <c r="H9" i="17"/>
  <c r="J7" i="17"/>
  <c r="I7" i="17"/>
  <c r="M7" i="17"/>
  <c r="F9" i="17"/>
  <c r="CC7" i="17"/>
  <c r="CF7" i="17" s="1"/>
  <c r="CG7" i="17" s="1"/>
  <c r="G7" i="17"/>
  <c r="Q7" i="17"/>
  <c r="LR8" i="17"/>
  <c r="LT8" i="17"/>
  <c r="LV8" i="17"/>
  <c r="LX8" i="17"/>
  <c r="AW22" i="16"/>
  <c r="AW8" i="16"/>
  <c r="AW20" i="16"/>
  <c r="AW21" i="16"/>
  <c r="AW27" i="16"/>
  <c r="AW23" i="16"/>
  <c r="AW26" i="16"/>
  <c r="AW6" i="16"/>
  <c r="AW7" i="16"/>
  <c r="AW9" i="16"/>
  <c r="AW10" i="16"/>
  <c r="AW11" i="16"/>
  <c r="AW12" i="16"/>
  <c r="AW13" i="16"/>
  <c r="AW14" i="16"/>
  <c r="AW15" i="16"/>
  <c r="AW5" i="16"/>
  <c r="AW28" i="16" s="1"/>
  <c r="AW16" i="16"/>
  <c r="AW17" i="16"/>
  <c r="AW18" i="16"/>
  <c r="AW19" i="16"/>
  <c r="AW24" i="16"/>
  <c r="AW25" i="16"/>
  <c r="Q28" i="16"/>
  <c r="CN5" i="16"/>
  <c r="CO5" i="16" s="1"/>
  <c r="CP5" i="16" s="1"/>
  <c r="DM5" i="16"/>
  <c r="DZ5" i="16"/>
  <c r="CN12" i="16"/>
  <c r="CO12" i="16" s="1"/>
  <c r="CP12" i="16" s="1"/>
  <c r="DM12" i="16"/>
  <c r="DZ12" i="16"/>
  <c r="CN14" i="16"/>
  <c r="CO14" i="16" s="1"/>
  <c r="CP14" i="16" s="1"/>
  <c r="DM14" i="16"/>
  <c r="DZ14" i="16"/>
  <c r="CN19" i="16"/>
  <c r="CO19" i="16" s="1"/>
  <c r="CP19" i="16" s="1"/>
  <c r="DM19" i="16"/>
  <c r="DZ19" i="16"/>
  <c r="CN21" i="16"/>
  <c r="CO21" i="16" s="1"/>
  <c r="CP21" i="16" s="1"/>
  <c r="DM21" i="16"/>
  <c r="DZ21" i="16"/>
  <c r="CN26" i="16"/>
  <c r="CO26" i="16" s="1"/>
  <c r="CP26" i="16" s="1"/>
  <c r="DM26" i="16"/>
  <c r="DZ26" i="16"/>
  <c r="CN8" i="16"/>
  <c r="CO8" i="16" s="1"/>
  <c r="CP8" i="16" s="1"/>
  <c r="DM8" i="16"/>
  <c r="DZ8" i="16"/>
  <c r="CN9" i="16"/>
  <c r="CO9" i="16" s="1"/>
  <c r="CP9" i="16" s="1"/>
  <c r="DM9" i="16"/>
  <c r="DZ9" i="16"/>
  <c r="CN13" i="16"/>
  <c r="CO13" i="16" s="1"/>
  <c r="CP13" i="16" s="1"/>
  <c r="DM13" i="16"/>
  <c r="DZ13" i="16"/>
  <c r="CN15" i="16"/>
  <c r="CO15" i="16" s="1"/>
  <c r="CP15" i="16" s="1"/>
  <c r="DM15" i="16"/>
  <c r="DZ15" i="16"/>
  <c r="CN17" i="16"/>
  <c r="CO17" i="16" s="1"/>
  <c r="CP17" i="16" s="1"/>
  <c r="DM17" i="16"/>
  <c r="DZ17" i="16"/>
  <c r="CN20" i="16"/>
  <c r="CO20" i="16" s="1"/>
  <c r="CP20" i="16" s="1"/>
  <c r="DM20" i="16"/>
  <c r="DZ20" i="16"/>
  <c r="DZ22" i="16"/>
  <c r="CN22" i="16"/>
  <c r="CO22" i="16" s="1"/>
  <c r="CP22" i="16" s="1"/>
  <c r="DM22" i="16"/>
  <c r="CN23" i="16"/>
  <c r="CO23" i="16" s="1"/>
  <c r="CP23" i="16" s="1"/>
  <c r="DM23" i="16"/>
  <c r="DZ23" i="16"/>
  <c r="CN24" i="16"/>
  <c r="CO24" i="16" s="1"/>
  <c r="CP24" i="16" s="1"/>
  <c r="DM24" i="16"/>
  <c r="DZ24" i="16"/>
  <c r="CN27" i="16"/>
  <c r="CO27" i="16" s="1"/>
  <c r="CP27" i="16" s="1"/>
  <c r="DM27" i="16"/>
  <c r="DZ27" i="16"/>
  <c r="CN11" i="16"/>
  <c r="CO11" i="16" s="1"/>
  <c r="CP11" i="16" s="1"/>
  <c r="DM11" i="16"/>
  <c r="DZ11" i="16"/>
  <c r="CN18" i="16"/>
  <c r="CO18" i="16" s="1"/>
  <c r="CP18" i="16" s="1"/>
  <c r="DM18" i="16"/>
  <c r="DZ18" i="16"/>
  <c r="CN25" i="16"/>
  <c r="CO25" i="16" s="1"/>
  <c r="CP25" i="16" s="1"/>
  <c r="DM25" i="16"/>
  <c r="DZ25" i="16"/>
  <c r="DM6" i="16"/>
  <c r="DM28" i="16" s="1"/>
  <c r="CN6" i="16"/>
  <c r="DZ6" i="16"/>
  <c r="CN7" i="16"/>
  <c r="CO7" i="16" s="1"/>
  <c r="CP7" i="16" s="1"/>
  <c r="DM7" i="16"/>
  <c r="DZ7" i="16"/>
  <c r="CN10" i="16"/>
  <c r="CO10" i="16" s="1"/>
  <c r="CP10" i="16" s="1"/>
  <c r="DM10" i="16"/>
  <c r="DZ10" i="16"/>
  <c r="CN16" i="16"/>
  <c r="CO16" i="16" s="1"/>
  <c r="CP16" i="16" s="1"/>
  <c r="DM16" i="16"/>
  <c r="DZ16" i="16"/>
  <c r="ND11" i="15"/>
  <c r="ND23" i="15"/>
  <c r="P7" i="15"/>
  <c r="L7" i="15"/>
  <c r="M7" i="15"/>
  <c r="KZ25" i="15"/>
  <c r="JV25" i="15"/>
  <c r="LJ26" i="15"/>
  <c r="LZ26" i="15" s="1"/>
  <c r="KZ24" i="15"/>
  <c r="JV24" i="15"/>
  <c r="LJ25" i="15"/>
  <c r="LZ25" i="15" s="1"/>
  <c r="JV23" i="15"/>
  <c r="LJ24" i="15"/>
  <c r="LZ24" i="15" s="1"/>
  <c r="KZ23" i="15"/>
  <c r="KZ22" i="15"/>
  <c r="JV22" i="15"/>
  <c r="LJ23" i="15"/>
  <c r="LZ23" i="15" s="1"/>
  <c r="KZ21" i="15"/>
  <c r="JV21" i="15"/>
  <c r="LJ22" i="15"/>
  <c r="LZ22" i="15" s="1"/>
  <c r="JV20" i="15"/>
  <c r="LJ21" i="15"/>
  <c r="LZ21" i="15" s="1"/>
  <c r="KZ20" i="15"/>
  <c r="KZ19" i="15"/>
  <c r="JV19" i="15"/>
  <c r="LJ20" i="15"/>
  <c r="LZ20" i="15" s="1"/>
  <c r="JV18" i="15"/>
  <c r="LJ19" i="15"/>
  <c r="LZ19" i="15" s="1"/>
  <c r="KZ18" i="15"/>
  <c r="KZ17" i="15"/>
  <c r="JV17" i="15"/>
  <c r="LJ18" i="15"/>
  <c r="LZ18" i="15" s="1"/>
  <c r="KZ16" i="15"/>
  <c r="JV16" i="15"/>
  <c r="LJ17" i="15"/>
  <c r="LZ17" i="15" s="1"/>
  <c r="JV15" i="15"/>
  <c r="LJ16" i="15"/>
  <c r="LZ16" i="15" s="1"/>
  <c r="KZ15" i="15"/>
  <c r="JV14" i="15"/>
  <c r="LJ15" i="15"/>
  <c r="LZ15" i="15" s="1"/>
  <c r="KZ14" i="15"/>
  <c r="JV13" i="15"/>
  <c r="LJ14" i="15"/>
  <c r="LZ14" i="15" s="1"/>
  <c r="KZ13" i="15"/>
  <c r="KZ12" i="15"/>
  <c r="JV12" i="15"/>
  <c r="LJ13" i="15"/>
  <c r="LZ13" i="15" s="1"/>
  <c r="JV11" i="15"/>
  <c r="LJ12" i="15"/>
  <c r="LZ12" i="15" s="1"/>
  <c r="KZ11" i="15"/>
  <c r="JV10" i="15"/>
  <c r="LJ11" i="15"/>
  <c r="LZ11" i="15" s="1"/>
  <c r="KZ10" i="15"/>
  <c r="KZ9" i="15"/>
  <c r="JV9" i="15"/>
  <c r="LJ10" i="15"/>
  <c r="LZ10" i="15" s="1"/>
  <c r="KZ8" i="15"/>
  <c r="JV8" i="15"/>
  <c r="LJ9" i="15"/>
  <c r="LZ9" i="15" s="1"/>
  <c r="ND8" i="15"/>
  <c r="JV7" i="15"/>
  <c r="LJ8" i="15"/>
  <c r="LZ8" i="15" s="1"/>
  <c r="KZ7" i="15"/>
  <c r="O17" i="15"/>
  <c r="R17" i="15" s="1"/>
  <c r="P17" i="15"/>
  <c r="Q17" i="15"/>
  <c r="MZ17" i="15"/>
  <c r="Q25" i="15"/>
  <c r="R25" i="15"/>
  <c r="ND35" i="15"/>
  <c r="NK35" i="15"/>
  <c r="NL35" i="15" s="1"/>
  <c r="NM35" i="15" s="1"/>
  <c r="JV6" i="15"/>
  <c r="LJ7" i="15"/>
  <c r="JF26" i="15"/>
  <c r="LL7" i="15"/>
  <c r="LL27" i="15" s="1"/>
  <c r="JH26" i="15"/>
  <c r="LR7" i="15"/>
  <c r="LR27" i="15" s="1"/>
  <c r="JN26" i="15"/>
  <c r="LT7" i="15"/>
  <c r="LT27" i="15" s="1"/>
  <c r="JP26" i="15"/>
  <c r="LV7" i="15"/>
  <c r="LV27" i="15" s="1"/>
  <c r="JR26" i="15"/>
  <c r="LX7" i="15"/>
  <c r="LX27" i="15" s="1"/>
  <c r="JT26" i="15"/>
  <c r="MG26" i="15"/>
  <c r="KZ6" i="15"/>
  <c r="KR26" i="15"/>
  <c r="KZ26" i="15" s="1"/>
  <c r="IO27" i="15"/>
  <c r="K10" i="15"/>
  <c r="IW26" i="15"/>
  <c r="IW27" i="15" s="1"/>
  <c r="O16" i="15"/>
  <c r="R16" i="15" s="1"/>
  <c r="P16" i="15"/>
  <c r="Q16" i="15"/>
  <c r="MZ16" i="15"/>
  <c r="BH6" i="16"/>
  <c r="BS28" i="16"/>
  <c r="BT28" i="16" s="1"/>
  <c r="L16" i="15"/>
  <c r="M16" i="15"/>
  <c r="AJ19" i="15"/>
  <c r="AJ16" i="15"/>
  <c r="I9" i="15"/>
  <c r="J9" i="15"/>
  <c r="H12" i="15"/>
  <c r="R7" i="15"/>
  <c r="CD7" i="15"/>
  <c r="CE7" i="15" s="1"/>
  <c r="Q9" i="15"/>
  <c r="G9" i="15"/>
  <c r="CC9" i="15"/>
  <c r="CF9" i="15" s="1"/>
  <c r="CG9" i="15" s="1"/>
  <c r="F12" i="15"/>
  <c r="LX4" i="15"/>
  <c r="KU4" i="15"/>
  <c r="KW4" i="15" s="1"/>
  <c r="JS4" i="15"/>
  <c r="IP4" i="15"/>
  <c r="IR4" i="15" s="1"/>
  <c r="IT4" i="15" s="1"/>
  <c r="GB3" i="15"/>
  <c r="GO3" i="15" s="1"/>
  <c r="HB3" i="15"/>
  <c r="HO3" i="15" s="1"/>
  <c r="FX3" i="15"/>
  <c r="GK3" i="15" s="1"/>
  <c r="GX3" i="15"/>
  <c r="HK3" i="15" s="1"/>
  <c r="CM6" i="16"/>
  <c r="CM7" i="16"/>
  <c r="CM8" i="16"/>
  <c r="CM9" i="16"/>
  <c r="CM12" i="16"/>
  <c r="CM13" i="16"/>
  <c r="CM14" i="16"/>
  <c r="CM15" i="16"/>
  <c r="CM5" i="16"/>
  <c r="CM10" i="16"/>
  <c r="CM11" i="16"/>
  <c r="CM16" i="16"/>
  <c r="CM17" i="16"/>
  <c r="CM18" i="16"/>
  <c r="CM23" i="16"/>
  <c r="CM24" i="16"/>
  <c r="CM25" i="16"/>
  <c r="CM19" i="16"/>
  <c r="CM21" i="16"/>
  <c r="CM22" i="16"/>
  <c r="CM27" i="16"/>
  <c r="CM20" i="16"/>
  <c r="CM26" i="16"/>
  <c r="IX16" i="16"/>
  <c r="IW16" i="16"/>
  <c r="IX14" i="16"/>
  <c r="IW14" i="16"/>
  <c r="IX13" i="16"/>
  <c r="IW13" i="16"/>
  <c r="IX12" i="16"/>
  <c r="IW12" i="16"/>
  <c r="IX11" i="16"/>
  <c r="IW11" i="16"/>
  <c r="IX10" i="16"/>
  <c r="IW10" i="16"/>
  <c r="IX5" i="16"/>
  <c r="IW5" i="16"/>
  <c r="IV28" i="16"/>
  <c r="IW28" i="16" s="1"/>
  <c r="IX4" i="16"/>
  <c r="IW4" i="16"/>
  <c r="IX19" i="16"/>
  <c r="IW19" i="16"/>
  <c r="IX9" i="16"/>
  <c r="IW9" i="16"/>
  <c r="IX26" i="16"/>
  <c r="IW26" i="16"/>
  <c r="IX25" i="16"/>
  <c r="IW25" i="16"/>
  <c r="IX7" i="16"/>
  <c r="IW7" i="16"/>
  <c r="IX6" i="16"/>
  <c r="IW6" i="16"/>
  <c r="IX22" i="16"/>
  <c r="IW22" i="16"/>
  <c r="IX21" i="16"/>
  <c r="IW21" i="16"/>
  <c r="IX20" i="16"/>
  <c r="IW20" i="16"/>
  <c r="CO4" i="16"/>
  <c r="CP4" i="16" s="1"/>
  <c r="FC8" i="15"/>
  <c r="KF6" i="13"/>
  <c r="KH6" i="13" s="1"/>
  <c r="LH7" i="13" s="1"/>
  <c r="KF7" i="13"/>
  <c r="KH7" i="13" s="1"/>
  <c r="LH8" i="13" s="1"/>
  <c r="KF8" i="13"/>
  <c r="KH8" i="13" s="1"/>
  <c r="LH9" i="13" s="1"/>
  <c r="KF9" i="13"/>
  <c r="KH9" i="13" s="1"/>
  <c r="LH10" i="13" s="1"/>
  <c r="KF12" i="13"/>
  <c r="KH12" i="13" s="1"/>
  <c r="LH13" i="13" s="1"/>
  <c r="KF13" i="13"/>
  <c r="KH13" i="13" s="1"/>
  <c r="LH14" i="13" s="1"/>
  <c r="KF14" i="13"/>
  <c r="KH14" i="13" s="1"/>
  <c r="LH15" i="13" s="1"/>
  <c r="KF17" i="13"/>
  <c r="KH17" i="13" s="1"/>
  <c r="LH18" i="13" s="1"/>
  <c r="KF18" i="13"/>
  <c r="KH18" i="13" s="1"/>
  <c r="LH19" i="13" s="1"/>
  <c r="KF21" i="13"/>
  <c r="KH21" i="13" s="1"/>
  <c r="LH22" i="13" s="1"/>
  <c r="KF24" i="13"/>
  <c r="KH24" i="13" s="1"/>
  <c r="LH25" i="13" s="1"/>
  <c r="KF11" i="13"/>
  <c r="KH11" i="13" s="1"/>
  <c r="LH12" i="13" s="1"/>
  <c r="KF16" i="13"/>
  <c r="KH16" i="13" s="1"/>
  <c r="LH17" i="13" s="1"/>
  <c r="KF20" i="13"/>
  <c r="KH20" i="13" s="1"/>
  <c r="LH21" i="13" s="1"/>
  <c r="KF22" i="13"/>
  <c r="KH22" i="13" s="1"/>
  <c r="LH23" i="13" s="1"/>
  <c r="KF23" i="13"/>
  <c r="KH23" i="13" s="1"/>
  <c r="LH24" i="13" s="1"/>
  <c r="KF10" i="13"/>
  <c r="KH10" i="13" s="1"/>
  <c r="LH11" i="13" s="1"/>
  <c r="KF19" i="13"/>
  <c r="KH19" i="13" s="1"/>
  <c r="LH20" i="13" s="1"/>
  <c r="KF25" i="13"/>
  <c r="KH25" i="13" s="1"/>
  <c r="LH26" i="13" s="1"/>
  <c r="LH27" i="13"/>
  <c r="KF15" i="13"/>
  <c r="KH15" i="13" s="1"/>
  <c r="LH16" i="13" s="1"/>
  <c r="NA29" i="13"/>
  <c r="ND29" i="13"/>
  <c r="ND27" i="13"/>
  <c r="ND26" i="13"/>
  <c r="NA23" i="13"/>
  <c r="NA26" i="13"/>
  <c r="NA27" i="13"/>
  <c r="NA11" i="13"/>
  <c r="ND34" i="13"/>
  <c r="NK34" i="13"/>
  <c r="NL34" i="13" s="1"/>
  <c r="NM34" i="13" s="1"/>
  <c r="NA31" i="13"/>
  <c r="O7" i="13"/>
  <c r="R7" i="13" s="1"/>
  <c r="O8" i="13"/>
  <c r="R8" i="13" s="1"/>
  <c r="O9" i="13"/>
  <c r="R9" i="13" s="1"/>
  <c r="O11" i="13"/>
  <c r="R11" i="13" s="1"/>
  <c r="Q24" i="13"/>
  <c r="R24" i="13"/>
  <c r="AW18" i="14"/>
  <c r="AW20" i="14"/>
  <c r="AW21" i="14"/>
  <c r="AW22" i="14"/>
  <c r="AW25" i="14"/>
  <c r="AW26" i="14"/>
  <c r="AW27" i="14"/>
  <c r="AW23" i="14"/>
  <c r="AW24" i="14"/>
  <c r="AW7" i="14"/>
  <c r="AW8" i="14"/>
  <c r="AW10" i="14"/>
  <c r="AW11" i="14"/>
  <c r="AW12" i="14"/>
  <c r="AW9" i="14"/>
  <c r="AW14" i="14"/>
  <c r="AW13" i="14"/>
  <c r="AW15" i="14"/>
  <c r="AW17" i="14"/>
  <c r="AW19" i="14"/>
  <c r="AW16" i="14"/>
  <c r="AW5" i="14"/>
  <c r="AW6" i="14"/>
  <c r="AW28" i="14"/>
  <c r="CN9" i="14"/>
  <c r="CO9" i="14" s="1"/>
  <c r="CP9" i="14" s="1"/>
  <c r="DM9" i="14"/>
  <c r="DZ9" i="14"/>
  <c r="CN10" i="14"/>
  <c r="CO10" i="14" s="1"/>
  <c r="CP10" i="14" s="1"/>
  <c r="DM10" i="14"/>
  <c r="DZ10" i="14"/>
  <c r="CN13" i="14"/>
  <c r="CO13" i="14" s="1"/>
  <c r="CP13" i="14" s="1"/>
  <c r="DZ13" i="14"/>
  <c r="DM13" i="14"/>
  <c r="CN20" i="14"/>
  <c r="CO20" i="14" s="1"/>
  <c r="CP20" i="14" s="1"/>
  <c r="DM20" i="14"/>
  <c r="DZ20" i="14"/>
  <c r="CN21" i="14"/>
  <c r="CO21" i="14" s="1"/>
  <c r="CP21" i="14" s="1"/>
  <c r="DM21" i="14"/>
  <c r="DZ21" i="14"/>
  <c r="DM5" i="14"/>
  <c r="DM28" i="14" s="1"/>
  <c r="CN5" i="14"/>
  <c r="DZ5" i="14"/>
  <c r="DZ28" i="14" s="1"/>
  <c r="DZ6" i="14"/>
  <c r="CN6" i="14"/>
  <c r="CO6" i="14" s="1"/>
  <c r="CP6" i="14" s="1"/>
  <c r="DM6" i="14"/>
  <c r="CN8" i="14"/>
  <c r="CO8" i="14" s="1"/>
  <c r="CP8" i="14" s="1"/>
  <c r="DM8" i="14"/>
  <c r="DZ8" i="14"/>
  <c r="CN11" i="14"/>
  <c r="CO11" i="14" s="1"/>
  <c r="CP11" i="14" s="1"/>
  <c r="DM11" i="14"/>
  <c r="DZ11" i="14"/>
  <c r="CN12" i="14"/>
  <c r="CO12" i="14" s="1"/>
  <c r="CP12" i="14" s="1"/>
  <c r="DM12" i="14"/>
  <c r="DZ12" i="14"/>
  <c r="CN14" i="14"/>
  <c r="CO14" i="14" s="1"/>
  <c r="CP14" i="14" s="1"/>
  <c r="DM14" i="14"/>
  <c r="DZ14" i="14"/>
  <c r="CN17" i="14"/>
  <c r="CO17" i="14" s="1"/>
  <c r="CP17" i="14" s="1"/>
  <c r="DM17" i="14"/>
  <c r="DZ17" i="14"/>
  <c r="CN24" i="14"/>
  <c r="CO24" i="14" s="1"/>
  <c r="CP24" i="14" s="1"/>
  <c r="DM24" i="14"/>
  <c r="DZ24" i="14"/>
  <c r="CN7" i="14"/>
  <c r="CO7" i="14" s="1"/>
  <c r="CP7" i="14" s="1"/>
  <c r="DM7" i="14"/>
  <c r="DZ7" i="14"/>
  <c r="CN15" i="14"/>
  <c r="CO15" i="14" s="1"/>
  <c r="CP15" i="14" s="1"/>
  <c r="DM15" i="14"/>
  <c r="DZ15" i="14"/>
  <c r="DM16" i="14"/>
  <c r="CN16" i="14"/>
  <c r="CO16" i="14" s="1"/>
  <c r="CP16" i="14" s="1"/>
  <c r="DZ16" i="14"/>
  <c r="CN18" i="14"/>
  <c r="CO18" i="14" s="1"/>
  <c r="CP18" i="14" s="1"/>
  <c r="DM18" i="14"/>
  <c r="DZ18" i="14"/>
  <c r="DM19" i="14"/>
  <c r="CN19" i="14"/>
  <c r="CO19" i="14" s="1"/>
  <c r="CP19" i="14" s="1"/>
  <c r="DZ19" i="14"/>
  <c r="DM23" i="14"/>
  <c r="CN23" i="14"/>
  <c r="CO23" i="14" s="1"/>
  <c r="CP23" i="14" s="1"/>
  <c r="DZ23" i="14"/>
  <c r="CN25" i="14"/>
  <c r="CO25" i="14" s="1"/>
  <c r="CP25" i="14" s="1"/>
  <c r="DM25" i="14"/>
  <c r="DZ25" i="14"/>
  <c r="CN26" i="14"/>
  <c r="CO26" i="14" s="1"/>
  <c r="CP26" i="14" s="1"/>
  <c r="DM26" i="14"/>
  <c r="DZ26" i="14"/>
  <c r="DM27" i="14"/>
  <c r="CN27" i="14"/>
  <c r="CO27" i="14" s="1"/>
  <c r="CP27" i="14" s="1"/>
  <c r="DZ27" i="14"/>
  <c r="CN22" i="14"/>
  <c r="CO22" i="14" s="1"/>
  <c r="CP22" i="14" s="1"/>
  <c r="DM22" i="14"/>
  <c r="DZ22" i="14"/>
  <c r="KZ25" i="13"/>
  <c r="JV25" i="13"/>
  <c r="LJ26" i="13"/>
  <c r="KZ24" i="13"/>
  <c r="JV24" i="13"/>
  <c r="LJ25" i="13"/>
  <c r="JV23" i="13"/>
  <c r="LJ24" i="13"/>
  <c r="KZ23" i="13"/>
  <c r="KZ22" i="13"/>
  <c r="JV22" i="13"/>
  <c r="LJ23" i="13"/>
  <c r="JV21" i="13"/>
  <c r="LJ22" i="13"/>
  <c r="KZ21" i="13"/>
  <c r="JV20" i="13"/>
  <c r="LJ21" i="13"/>
  <c r="KZ20" i="13"/>
  <c r="JV19" i="13"/>
  <c r="LJ20" i="13"/>
  <c r="KZ19" i="13"/>
  <c r="JV18" i="13"/>
  <c r="LJ19" i="13"/>
  <c r="KZ18" i="13"/>
  <c r="JV17" i="13"/>
  <c r="LJ18" i="13"/>
  <c r="KZ17" i="13"/>
  <c r="JV16" i="13"/>
  <c r="LJ17" i="13"/>
  <c r="KZ16" i="13"/>
  <c r="KZ15" i="13"/>
  <c r="JV15" i="13"/>
  <c r="LJ16" i="13"/>
  <c r="LJ15" i="13"/>
  <c r="JV14" i="13"/>
  <c r="KZ14" i="13"/>
  <c r="KZ13" i="13"/>
  <c r="LJ14" i="13"/>
  <c r="JV13" i="13"/>
  <c r="KZ12" i="13"/>
  <c r="JV12" i="13"/>
  <c r="LJ13" i="13"/>
  <c r="JV11" i="13"/>
  <c r="LJ12" i="13"/>
  <c r="KZ11" i="13"/>
  <c r="KZ10" i="13"/>
  <c r="JV10" i="13"/>
  <c r="LJ11" i="13"/>
  <c r="JV9" i="13"/>
  <c r="LJ10" i="13"/>
  <c r="KZ9" i="13"/>
  <c r="KZ8" i="13"/>
  <c r="JV8" i="13"/>
  <c r="LJ9" i="13"/>
  <c r="ND8" i="13"/>
  <c r="KZ7" i="13"/>
  <c r="JV7" i="13"/>
  <c r="LJ8" i="13"/>
  <c r="LN7" i="13"/>
  <c r="LN27" i="13" s="1"/>
  <c r="LP7" i="13"/>
  <c r="LP27" i="13" s="1"/>
  <c r="KG26" i="13"/>
  <c r="LG27" i="13" s="1"/>
  <c r="MZ35" i="13"/>
  <c r="N25" i="13"/>
  <c r="KZ6" i="13"/>
  <c r="KR26" i="13"/>
  <c r="KZ26" i="13" s="1"/>
  <c r="IW26" i="13"/>
  <c r="IW27" i="13" s="1"/>
  <c r="IO27" i="13"/>
  <c r="K10" i="13"/>
  <c r="MG26" i="13"/>
  <c r="JH26" i="13"/>
  <c r="LL7" i="13"/>
  <c r="JT26" i="13"/>
  <c r="LX7" i="13"/>
  <c r="JF26" i="13"/>
  <c r="JV6" i="13"/>
  <c r="LJ7" i="13"/>
  <c r="LR7" i="13"/>
  <c r="JN26" i="13"/>
  <c r="LV7" i="13"/>
  <c r="JR26" i="13"/>
  <c r="LT7" i="13"/>
  <c r="JP26" i="13"/>
  <c r="AJ19" i="13"/>
  <c r="AJ20" i="13" s="1"/>
  <c r="AJ16" i="13"/>
  <c r="L16" i="13"/>
  <c r="M16" i="13"/>
  <c r="M9" i="13"/>
  <c r="I9" i="13"/>
  <c r="J9" i="13"/>
  <c r="H12" i="13"/>
  <c r="Q9" i="13"/>
  <c r="G9" i="13"/>
  <c r="CD9" i="13" s="1"/>
  <c r="CE9" i="13" s="1"/>
  <c r="CC9" i="13"/>
  <c r="CF9" i="13" s="1"/>
  <c r="CG9" i="13" s="1"/>
  <c r="F12" i="13"/>
  <c r="KU4" i="13"/>
  <c r="KW4" i="13" s="1"/>
  <c r="LX4" i="13"/>
  <c r="JS4" i="13"/>
  <c r="IP4" i="13"/>
  <c r="IR4" i="13" s="1"/>
  <c r="IT4" i="13" s="1"/>
  <c r="GB3" i="13"/>
  <c r="GO3" i="13" s="1"/>
  <c r="HB3" i="13"/>
  <c r="HO3" i="13" s="1"/>
  <c r="FX3" i="13"/>
  <c r="GK3" i="13" s="1"/>
  <c r="GX3" i="13"/>
  <c r="HK3" i="13" s="1"/>
  <c r="IX13" i="14"/>
  <c r="IW13" i="14"/>
  <c r="IX12" i="14"/>
  <c r="IW12" i="14"/>
  <c r="IX7" i="14"/>
  <c r="IW7" i="14"/>
  <c r="IX5" i="14"/>
  <c r="IW5" i="14"/>
  <c r="IX4" i="14"/>
  <c r="IV28" i="14"/>
  <c r="IW28" i="14" s="1"/>
  <c r="IW4" i="14"/>
  <c r="IX21" i="14"/>
  <c r="IW21" i="14"/>
  <c r="IX26" i="14"/>
  <c r="IW26" i="14"/>
  <c r="IX25" i="14"/>
  <c r="IW25" i="14"/>
  <c r="IX9" i="14"/>
  <c r="IW9" i="14"/>
  <c r="IX10" i="14"/>
  <c r="IW10" i="14"/>
  <c r="IX18" i="14"/>
  <c r="IW18" i="14"/>
  <c r="IX11" i="14"/>
  <c r="IW11" i="14"/>
  <c r="IX6" i="14"/>
  <c r="IW6" i="14"/>
  <c r="IX22" i="14"/>
  <c r="IW22" i="14"/>
  <c r="IX14" i="14"/>
  <c r="IW14" i="14"/>
  <c r="CO4" i="14"/>
  <c r="CP4" i="14" s="1"/>
  <c r="CC19" i="13"/>
  <c r="CF19" i="13" s="1"/>
  <c r="CG19" i="13" s="1"/>
  <c r="G21" i="13"/>
  <c r="CD19" i="13" s="1"/>
  <c r="CE19" i="13" s="1"/>
  <c r="ND26" i="5"/>
  <c r="NA7" i="5"/>
  <c r="NA27" i="5"/>
  <c r="NA16" i="5"/>
  <c r="NA29" i="5"/>
  <c r="NA23" i="5"/>
  <c r="NA11" i="5"/>
  <c r="ND27" i="5"/>
  <c r="NA9" i="5"/>
  <c r="NA26" i="5"/>
  <c r="NA8" i="5"/>
  <c r="ND29" i="5"/>
  <c r="NA17" i="5"/>
  <c r="Q24" i="5"/>
  <c r="O7" i="5"/>
  <c r="R7" i="5" s="1"/>
  <c r="R24" i="5"/>
  <c r="KF10" i="5"/>
  <c r="KH10" i="5" s="1"/>
  <c r="KF15" i="5"/>
  <c r="KH15" i="5" s="1"/>
  <c r="LH27" i="5"/>
  <c r="KF18" i="5"/>
  <c r="KH18" i="5" s="1"/>
  <c r="KF8" i="5"/>
  <c r="KH8" i="5" s="1"/>
  <c r="KF17" i="5"/>
  <c r="KH17" i="5" s="1"/>
  <c r="KF23" i="5"/>
  <c r="KH23" i="5" s="1"/>
  <c r="KF24" i="5"/>
  <c r="KH24" i="5" s="1"/>
  <c r="KF6" i="5"/>
  <c r="KH6" i="5" s="1"/>
  <c r="LH7" i="5" s="1"/>
  <c r="KF9" i="5"/>
  <c r="KH9" i="5" s="1"/>
  <c r="KF21" i="5"/>
  <c r="KH21" i="5" s="1"/>
  <c r="KF14" i="5"/>
  <c r="KH14" i="5" s="1"/>
  <c r="KF25" i="5"/>
  <c r="KH25" i="5" s="1"/>
  <c r="KF11" i="5"/>
  <c r="KH11" i="5" s="1"/>
  <c r="KF20" i="5"/>
  <c r="KH20" i="5" s="1"/>
  <c r="KF7" i="5"/>
  <c r="KH7" i="5" s="1"/>
  <c r="KF12" i="5"/>
  <c r="KH12" i="5" s="1"/>
  <c r="KF19" i="5"/>
  <c r="KH19" i="5" s="1"/>
  <c r="KF13" i="5"/>
  <c r="KH13" i="5" s="1"/>
  <c r="KF16" i="5"/>
  <c r="KH16" i="5" s="1"/>
  <c r="KF22" i="5"/>
  <c r="KH22" i="5" s="1"/>
  <c r="Q28" i="8"/>
  <c r="CO4" i="8"/>
  <c r="CN5" i="8"/>
  <c r="DM5" i="8"/>
  <c r="DZ5" i="8"/>
  <c r="CN7" i="8"/>
  <c r="CO7" i="8" s="1"/>
  <c r="CP7" i="8" s="1"/>
  <c r="DM7" i="8"/>
  <c r="DZ7" i="8"/>
  <c r="CN6" i="8"/>
  <c r="CO6" i="8" s="1"/>
  <c r="CP6" i="8" s="1"/>
  <c r="DZ6" i="8"/>
  <c r="DM6" i="8"/>
  <c r="CN8" i="8"/>
  <c r="CO8" i="8" s="1"/>
  <c r="CP8" i="8" s="1"/>
  <c r="DZ8" i="8"/>
  <c r="DM8" i="8"/>
  <c r="DM9" i="8"/>
  <c r="DZ9" i="8"/>
  <c r="CN9" i="8"/>
  <c r="CO9" i="8" s="1"/>
  <c r="CP9" i="8" s="1"/>
  <c r="DZ10" i="8"/>
  <c r="DM10" i="8"/>
  <c r="CN10" i="8"/>
  <c r="CO10" i="8" s="1"/>
  <c r="CP10" i="8" s="1"/>
  <c r="CN11" i="8"/>
  <c r="CO11" i="8" s="1"/>
  <c r="CP11" i="8" s="1"/>
  <c r="DZ11" i="8"/>
  <c r="DM11" i="8"/>
  <c r="DM12" i="8"/>
  <c r="DZ12" i="8"/>
  <c r="CN12" i="8"/>
  <c r="CO12" i="8" s="1"/>
  <c r="CP12" i="8" s="1"/>
  <c r="DZ13" i="8"/>
  <c r="CN13" i="8"/>
  <c r="CO13" i="8" s="1"/>
  <c r="CP13" i="8" s="1"/>
  <c r="DM13" i="8"/>
  <c r="DZ14" i="8"/>
  <c r="CN14" i="8"/>
  <c r="CO14" i="8" s="1"/>
  <c r="CP14" i="8" s="1"/>
  <c r="DM14" i="8"/>
  <c r="DZ15" i="8"/>
  <c r="CN15" i="8"/>
  <c r="CO15" i="8" s="1"/>
  <c r="CP15" i="8" s="1"/>
  <c r="DM15" i="8"/>
  <c r="DM16" i="8"/>
  <c r="DZ16" i="8"/>
  <c r="CN16" i="8"/>
  <c r="CO16" i="8" s="1"/>
  <c r="CP16" i="8" s="1"/>
  <c r="DZ17" i="8"/>
  <c r="DM17" i="8"/>
  <c r="CN17" i="8"/>
  <c r="CO17" i="8" s="1"/>
  <c r="CP17" i="8" s="1"/>
  <c r="CN18" i="8"/>
  <c r="CO18" i="8" s="1"/>
  <c r="CP18" i="8" s="1"/>
  <c r="DM18" i="8"/>
  <c r="DZ18" i="8"/>
  <c r="DZ19" i="8"/>
  <c r="DM19" i="8"/>
  <c r="CN19" i="8"/>
  <c r="CO19" i="8" s="1"/>
  <c r="CP19" i="8" s="1"/>
  <c r="CN20" i="8"/>
  <c r="CO20" i="8" s="1"/>
  <c r="CP20" i="8" s="1"/>
  <c r="DM20" i="8"/>
  <c r="DZ20" i="8"/>
  <c r="DZ21" i="8"/>
  <c r="DM21" i="8"/>
  <c r="CN21" i="8"/>
  <c r="CO21" i="8" s="1"/>
  <c r="CP21" i="8" s="1"/>
  <c r="DM22" i="8"/>
  <c r="CN22" i="8"/>
  <c r="CO22" i="8" s="1"/>
  <c r="CP22" i="8" s="1"/>
  <c r="DZ22" i="8"/>
  <c r="DZ23" i="8"/>
  <c r="DM23" i="8"/>
  <c r="CN23" i="8"/>
  <c r="CO23" i="8" s="1"/>
  <c r="CP23" i="8" s="1"/>
  <c r="DM24" i="8"/>
  <c r="CN24" i="8"/>
  <c r="CO24" i="8" s="1"/>
  <c r="CP24" i="8" s="1"/>
  <c r="DZ24" i="8"/>
  <c r="CN25" i="8"/>
  <c r="CO25" i="8" s="1"/>
  <c r="CP25" i="8" s="1"/>
  <c r="DZ25" i="8"/>
  <c r="DM25" i="8"/>
  <c r="DM26" i="8"/>
  <c r="DZ26" i="8"/>
  <c r="CN26" i="8"/>
  <c r="CO26" i="8" s="1"/>
  <c r="CP26" i="8" s="1"/>
  <c r="CN27" i="8"/>
  <c r="CO27" i="8" s="1"/>
  <c r="CP27" i="8" s="1"/>
  <c r="DM27" i="8"/>
  <c r="DZ27" i="8"/>
  <c r="CL28" i="8"/>
  <c r="CM4" i="8"/>
  <c r="CP4" i="8" s="1"/>
  <c r="BQ28" i="8"/>
  <c r="BR4" i="8"/>
  <c r="EU28" i="8"/>
  <c r="DO28" i="8"/>
  <c r="ND8" i="5"/>
  <c r="ND16" i="5"/>
  <c r="ND11" i="5"/>
  <c r="ND23" i="5"/>
  <c r="ND17" i="5"/>
  <c r="IV4" i="8"/>
  <c r="IV5" i="8"/>
  <c r="IV7" i="8"/>
  <c r="IV9" i="8"/>
  <c r="IV10" i="8"/>
  <c r="IV11" i="8"/>
  <c r="IV12" i="8"/>
  <c r="IV13" i="8"/>
  <c r="IV14" i="8"/>
  <c r="IV16" i="8"/>
  <c r="IV18" i="8"/>
  <c r="IV19" i="8"/>
  <c r="IV20" i="8"/>
  <c r="IV21" i="8"/>
  <c r="IV22" i="8"/>
  <c r="IV25" i="8"/>
  <c r="IV26" i="8"/>
  <c r="AW28" i="8"/>
  <c r="DM28" i="20" l="1"/>
  <c r="CN28" i="20"/>
  <c r="CO5" i="20"/>
  <c r="CP5" i="20" s="1"/>
  <c r="DZ28" i="20"/>
  <c r="JW25" i="19"/>
  <c r="MJ25" i="19"/>
  <c r="MM25" i="19" s="1"/>
  <c r="LY26" i="19"/>
  <c r="KI25" i="19"/>
  <c r="MK25" i="19"/>
  <c r="LY25" i="19"/>
  <c r="JW24" i="19"/>
  <c r="MJ24" i="19"/>
  <c r="MM24" i="19" s="1"/>
  <c r="MK24" i="19"/>
  <c r="KI24" i="19"/>
  <c r="MK23" i="19"/>
  <c r="MJ23" i="19"/>
  <c r="MM23" i="19" s="1"/>
  <c r="LY24" i="19"/>
  <c r="KI23" i="19" s="1"/>
  <c r="JW23" i="19"/>
  <c r="MJ22" i="19"/>
  <c r="MM22" i="19" s="1"/>
  <c r="LY23" i="19"/>
  <c r="JW22" i="19"/>
  <c r="MK22" i="19"/>
  <c r="KI22" i="19"/>
  <c r="JW21" i="19"/>
  <c r="LY22" i="19"/>
  <c r="MJ21" i="19"/>
  <c r="MM21" i="19" s="1"/>
  <c r="KI21" i="19"/>
  <c r="MK21" i="19"/>
  <c r="JW20" i="19"/>
  <c r="MJ20" i="19"/>
  <c r="MM20" i="19" s="1"/>
  <c r="LY21" i="19"/>
  <c r="KI20" i="19"/>
  <c r="MK20" i="19"/>
  <c r="JW19" i="19"/>
  <c r="MJ19" i="19"/>
  <c r="MM19" i="19" s="1"/>
  <c r="LY20" i="19"/>
  <c r="KI19" i="19"/>
  <c r="MK19" i="19"/>
  <c r="JW18" i="19"/>
  <c r="MJ18" i="19"/>
  <c r="MM18" i="19" s="1"/>
  <c r="LY19" i="19"/>
  <c r="KI18" i="19"/>
  <c r="MK18" i="19"/>
  <c r="JW17" i="19"/>
  <c r="MJ17" i="19"/>
  <c r="MM17" i="19" s="1"/>
  <c r="LY18" i="19"/>
  <c r="KI17" i="19"/>
  <c r="MK17" i="19"/>
  <c r="JW16" i="19"/>
  <c r="MJ16" i="19"/>
  <c r="MM16" i="19" s="1"/>
  <c r="LY17" i="19"/>
  <c r="KI16" i="19"/>
  <c r="MK16" i="19"/>
  <c r="JW15" i="19"/>
  <c r="MJ15" i="19"/>
  <c r="MM15" i="19" s="1"/>
  <c r="LY16" i="19"/>
  <c r="KI15" i="19"/>
  <c r="MK15" i="19"/>
  <c r="JW14" i="19"/>
  <c r="MJ14" i="19"/>
  <c r="MM14" i="19" s="1"/>
  <c r="LY15" i="19"/>
  <c r="KI14" i="19" s="1"/>
  <c r="MK14" i="19"/>
  <c r="M9" i="19"/>
  <c r="I9" i="19"/>
  <c r="J9" i="19"/>
  <c r="H12" i="19"/>
  <c r="R7" i="19"/>
  <c r="CD7" i="19"/>
  <c r="CE7" i="19" s="1"/>
  <c r="Q9" i="19"/>
  <c r="G9" i="19"/>
  <c r="CC9" i="19"/>
  <c r="CF9" i="19" s="1"/>
  <c r="CG9" i="19" s="1"/>
  <c r="F12" i="19"/>
  <c r="JW12" i="19"/>
  <c r="MJ12" i="19"/>
  <c r="MM12" i="19" s="1"/>
  <c r="LY13" i="19"/>
  <c r="KI12" i="19"/>
  <c r="MK12" i="19"/>
  <c r="JW11" i="19"/>
  <c r="MJ11" i="19"/>
  <c r="MM11" i="19" s="1"/>
  <c r="LY12" i="19"/>
  <c r="KI11" i="19"/>
  <c r="MK11" i="19"/>
  <c r="JW10" i="19"/>
  <c r="MJ10" i="19"/>
  <c r="MM10" i="19" s="1"/>
  <c r="LY11" i="19"/>
  <c r="KI10" i="19"/>
  <c r="MK10" i="19"/>
  <c r="JW9" i="19"/>
  <c r="MJ9" i="19"/>
  <c r="MM9" i="19" s="1"/>
  <c r="LY10" i="19"/>
  <c r="KI9" i="19"/>
  <c r="MK9" i="19"/>
  <c r="JW8" i="19"/>
  <c r="MJ8" i="19"/>
  <c r="MM8" i="19" s="1"/>
  <c r="LY9" i="19"/>
  <c r="KI8" i="19" s="1"/>
  <c r="MK8" i="19"/>
  <c r="JW7" i="19"/>
  <c r="MJ7" i="19"/>
  <c r="MM7" i="19" s="1"/>
  <c r="LY8" i="19"/>
  <c r="KI7" i="19"/>
  <c r="MK7" i="19"/>
  <c r="NA17" i="19"/>
  <c r="NC17" i="19"/>
  <c r="ND17" i="19" s="1"/>
  <c r="NK17" i="19"/>
  <c r="NL17" i="19" s="1"/>
  <c r="NM17" i="19" s="1"/>
  <c r="JW6" i="19"/>
  <c r="MJ6" i="19"/>
  <c r="LY7" i="19"/>
  <c r="LZ7" i="19"/>
  <c r="LJ27" i="19"/>
  <c r="JV26" i="19"/>
  <c r="JF27" i="19"/>
  <c r="AH15" i="19" s="1"/>
  <c r="LI28" i="19"/>
  <c r="K14" i="19"/>
  <c r="AH17" i="19"/>
  <c r="D5" i="20"/>
  <c r="N15" i="19"/>
  <c r="JH27" i="19"/>
  <c r="AI15" i="19" s="1"/>
  <c r="AI17" i="19" s="1"/>
  <c r="LK28" i="19"/>
  <c r="LL28" i="19" s="1"/>
  <c r="K15" i="19"/>
  <c r="D9" i="20"/>
  <c r="EA28" i="20" s="1"/>
  <c r="EA5" i="20" s="1"/>
  <c r="N19" i="19"/>
  <c r="JN27" i="19"/>
  <c r="LQ28" i="19"/>
  <c r="LR28" i="19" s="1"/>
  <c r="K19" i="19"/>
  <c r="JP27" i="19"/>
  <c r="LS28" i="19"/>
  <c r="LT28" i="19" s="1"/>
  <c r="D8" i="20"/>
  <c r="DD7" i="20" s="1"/>
  <c r="N18" i="19"/>
  <c r="JR27" i="19"/>
  <c r="LU28" i="19"/>
  <c r="LV28" i="19" s="1"/>
  <c r="K18" i="19"/>
  <c r="D10" i="20"/>
  <c r="EJ7" i="20" s="1"/>
  <c r="N20" i="19"/>
  <c r="JT27" i="19"/>
  <c r="LW28" i="19"/>
  <c r="LX28" i="19" s="1"/>
  <c r="K20" i="19"/>
  <c r="K12" i="19"/>
  <c r="L10" i="19"/>
  <c r="M10" i="19"/>
  <c r="BH4" i="20"/>
  <c r="BP28" i="20" s="1"/>
  <c r="BH5" i="20"/>
  <c r="BR28" i="20" s="1"/>
  <c r="NA16" i="19"/>
  <c r="NC16" i="19"/>
  <c r="ND16" i="19" s="1"/>
  <c r="NK16" i="19"/>
  <c r="NL16" i="19" s="1"/>
  <c r="NM16" i="19" s="1"/>
  <c r="AJ21" i="19"/>
  <c r="AJ20" i="19"/>
  <c r="MK13" i="19"/>
  <c r="KI13" i="19"/>
  <c r="CP24" i="20"/>
  <c r="CP7" i="20"/>
  <c r="CP14" i="20"/>
  <c r="CP18" i="20"/>
  <c r="CP15" i="20"/>
  <c r="CP16" i="20"/>
  <c r="CP9" i="20"/>
  <c r="CP12" i="20"/>
  <c r="CP10" i="20"/>
  <c r="CP27" i="20"/>
  <c r="CP11" i="20"/>
  <c r="CP6" i="20"/>
  <c r="CP19" i="20"/>
  <c r="CP13" i="20"/>
  <c r="CP22" i="20"/>
  <c r="CP8" i="20"/>
  <c r="CP25" i="20"/>
  <c r="CP23" i="20"/>
  <c r="CP20" i="20"/>
  <c r="CP21" i="20"/>
  <c r="CP26" i="20"/>
  <c r="CP17" i="20"/>
  <c r="IX28" i="20"/>
  <c r="IX25" i="18"/>
  <c r="IW25" i="18"/>
  <c r="IX5" i="18"/>
  <c r="IW5" i="18"/>
  <c r="IX19" i="18"/>
  <c r="IW19" i="18"/>
  <c r="IX6" i="18"/>
  <c r="IW6" i="18"/>
  <c r="IX13" i="18"/>
  <c r="IW13" i="18"/>
  <c r="IX20" i="18"/>
  <c r="IW20" i="18"/>
  <c r="IX21" i="18"/>
  <c r="IW21" i="18"/>
  <c r="IV28" i="18"/>
  <c r="IW28" i="18" s="1"/>
  <c r="IX4" i="18"/>
  <c r="IW4" i="18"/>
  <c r="IX7" i="18"/>
  <c r="IW7" i="18"/>
  <c r="IX9" i="18"/>
  <c r="IW9" i="18"/>
  <c r="IX10" i="18"/>
  <c r="IW10" i="18"/>
  <c r="IX11" i="18"/>
  <c r="IW11" i="18"/>
  <c r="IX12" i="18"/>
  <c r="IW12" i="18"/>
  <c r="IX14" i="18"/>
  <c r="IW14" i="18"/>
  <c r="IX16" i="18"/>
  <c r="IW16" i="18"/>
  <c r="IX18" i="18"/>
  <c r="IW18" i="18"/>
  <c r="IX22" i="18"/>
  <c r="IW22" i="18"/>
  <c r="IW26" i="18"/>
  <c r="IX26" i="18"/>
  <c r="FW9" i="18"/>
  <c r="CR9" i="18"/>
  <c r="GL9" i="18" s="1"/>
  <c r="FW12" i="18"/>
  <c r="CR12" i="18"/>
  <c r="GL12" i="18" s="1"/>
  <c r="FW19" i="18"/>
  <c r="CR19" i="18"/>
  <c r="GL19" i="18" s="1"/>
  <c r="FW21" i="18"/>
  <c r="CR21" i="18"/>
  <c r="GL21" i="18" s="1"/>
  <c r="CR22" i="18"/>
  <c r="GL22" i="18" s="1"/>
  <c r="FW22" i="18"/>
  <c r="FW7" i="18"/>
  <c r="CR7" i="18"/>
  <c r="GL7" i="18" s="1"/>
  <c r="FW13" i="18"/>
  <c r="CR13" i="18"/>
  <c r="GL13" i="18" s="1"/>
  <c r="CR14" i="18"/>
  <c r="GL14" i="18" s="1"/>
  <c r="FW14" i="18"/>
  <c r="FW15" i="18"/>
  <c r="CR15" i="18"/>
  <c r="GL15" i="18" s="1"/>
  <c r="FW16" i="18"/>
  <c r="CR16" i="18"/>
  <c r="GL16" i="18" s="1"/>
  <c r="FW17" i="18"/>
  <c r="CR17" i="18"/>
  <c r="GL17" i="18" s="1"/>
  <c r="FW18" i="18"/>
  <c r="CR18" i="18"/>
  <c r="GL18" i="18" s="1"/>
  <c r="CR20" i="18"/>
  <c r="GL20" i="18" s="1"/>
  <c r="FW20" i="18"/>
  <c r="FW27" i="18"/>
  <c r="FW6" i="18"/>
  <c r="CR6" i="18"/>
  <c r="GL6" i="18" s="1"/>
  <c r="FW8" i="18"/>
  <c r="FW10" i="18"/>
  <c r="CR10" i="18"/>
  <c r="GL10" i="18" s="1"/>
  <c r="FW11" i="18"/>
  <c r="CR11" i="18"/>
  <c r="GL11" i="18" s="1"/>
  <c r="FW23" i="18"/>
  <c r="FW24" i="18"/>
  <c r="FW25" i="18"/>
  <c r="CR25" i="18"/>
  <c r="GL25" i="18" s="1"/>
  <c r="FW26" i="18"/>
  <c r="CR26" i="18"/>
  <c r="GL26" i="18" s="1"/>
  <c r="CR5" i="18"/>
  <c r="GL5" i="18" s="1"/>
  <c r="FW5" i="18"/>
  <c r="JW25" i="17"/>
  <c r="MJ25" i="17"/>
  <c r="MM25" i="17" s="1"/>
  <c r="LY26" i="17"/>
  <c r="KI25" i="17"/>
  <c r="MK25" i="17"/>
  <c r="JW24" i="17"/>
  <c r="MJ24" i="17"/>
  <c r="MM24" i="17" s="1"/>
  <c r="LY25" i="17"/>
  <c r="KI24" i="17" s="1"/>
  <c r="MK24" i="17"/>
  <c r="JW23" i="17"/>
  <c r="MJ23" i="17"/>
  <c r="MM23" i="17" s="1"/>
  <c r="LY24" i="17"/>
  <c r="KI23" i="17"/>
  <c r="MK23" i="17"/>
  <c r="JW22" i="17"/>
  <c r="MJ22" i="17"/>
  <c r="MM22" i="17" s="1"/>
  <c r="LY23" i="17"/>
  <c r="KI22" i="17" s="1"/>
  <c r="MK22" i="17"/>
  <c r="JW21" i="17"/>
  <c r="MJ21" i="17"/>
  <c r="MM21" i="17" s="1"/>
  <c r="LY22" i="17"/>
  <c r="KI21" i="17"/>
  <c r="MK21" i="17"/>
  <c r="JW20" i="17"/>
  <c r="MJ20" i="17"/>
  <c r="MM20" i="17" s="1"/>
  <c r="LY21" i="17"/>
  <c r="KI20" i="17" s="1"/>
  <c r="MK20" i="17"/>
  <c r="JW19" i="17"/>
  <c r="MJ19" i="17"/>
  <c r="MM19" i="17" s="1"/>
  <c r="LY20" i="17"/>
  <c r="KI19" i="17"/>
  <c r="MK19" i="17"/>
  <c r="JW18" i="17"/>
  <c r="MJ18" i="17"/>
  <c r="MM18" i="17" s="1"/>
  <c r="LY19" i="17"/>
  <c r="KI18" i="17"/>
  <c r="MK18" i="17"/>
  <c r="JW17" i="17"/>
  <c r="MJ17" i="17"/>
  <c r="MM17" i="17" s="1"/>
  <c r="LY18" i="17"/>
  <c r="KI17" i="17"/>
  <c r="MK17" i="17"/>
  <c r="JW16" i="17"/>
  <c r="MJ16" i="17"/>
  <c r="MM16" i="17" s="1"/>
  <c r="LY17" i="17"/>
  <c r="KI16" i="17"/>
  <c r="MK16" i="17"/>
  <c r="JW15" i="17"/>
  <c r="MJ15" i="17"/>
  <c r="MM15" i="17" s="1"/>
  <c r="LY16" i="17"/>
  <c r="KI15" i="17"/>
  <c r="MK15" i="17"/>
  <c r="JW14" i="17"/>
  <c r="MJ14" i="17"/>
  <c r="MM14" i="17" s="1"/>
  <c r="LY15" i="17"/>
  <c r="KI14" i="17"/>
  <c r="MK14" i="17"/>
  <c r="JW13" i="17"/>
  <c r="MJ13" i="17"/>
  <c r="MM13" i="17" s="1"/>
  <c r="LY14" i="17"/>
  <c r="KI13" i="17" s="1"/>
  <c r="MK13" i="17"/>
  <c r="JW12" i="17"/>
  <c r="MJ12" i="17"/>
  <c r="MM12" i="17" s="1"/>
  <c r="LY13" i="17"/>
  <c r="KI12" i="17" s="1"/>
  <c r="MK12" i="17"/>
  <c r="JW11" i="17"/>
  <c r="MJ11" i="17"/>
  <c r="MM11" i="17" s="1"/>
  <c r="LY12" i="17"/>
  <c r="KI11" i="17"/>
  <c r="MK11" i="17"/>
  <c r="JW10" i="17"/>
  <c r="MJ10" i="17"/>
  <c r="MM10" i="17" s="1"/>
  <c r="LY11" i="17"/>
  <c r="KI10" i="17"/>
  <c r="MK10" i="17"/>
  <c r="JW9" i="17"/>
  <c r="MJ9" i="17"/>
  <c r="MM9" i="17" s="1"/>
  <c r="LY10" i="17"/>
  <c r="KI9" i="17" s="1"/>
  <c r="MK9" i="17"/>
  <c r="JW8" i="17"/>
  <c r="MJ8" i="17"/>
  <c r="MM8" i="17" s="1"/>
  <c r="LY9" i="17"/>
  <c r="KI8" i="17"/>
  <c r="MK8" i="17"/>
  <c r="JW7" i="17"/>
  <c r="MJ7" i="17"/>
  <c r="MM7" i="17" s="1"/>
  <c r="LY8" i="17"/>
  <c r="KI7" i="17"/>
  <c r="MK7" i="17"/>
  <c r="AJ21" i="17"/>
  <c r="N16" i="17"/>
  <c r="D6" i="18"/>
  <c r="LN28" i="17"/>
  <c r="LP28" i="17"/>
  <c r="D7" i="18"/>
  <c r="N17" i="17"/>
  <c r="ND35" i="17"/>
  <c r="NK35" i="17"/>
  <c r="NL35" i="17" s="1"/>
  <c r="NM35" i="17" s="1"/>
  <c r="Q25" i="17"/>
  <c r="R25" i="17"/>
  <c r="K12" i="17"/>
  <c r="L10" i="17"/>
  <c r="M10" i="17"/>
  <c r="JW6" i="17"/>
  <c r="MJ6" i="17"/>
  <c r="LY7" i="17"/>
  <c r="LZ7" i="17"/>
  <c r="LJ27" i="17"/>
  <c r="JV26" i="17"/>
  <c r="JF27" i="17"/>
  <c r="AH15" i="17" s="1"/>
  <c r="LI28" i="17"/>
  <c r="K14" i="17"/>
  <c r="AH17" i="17"/>
  <c r="D5" i="18"/>
  <c r="N15" i="17"/>
  <c r="JH27" i="17"/>
  <c r="AI15" i="17" s="1"/>
  <c r="LK28" i="17"/>
  <c r="LL28" i="17" s="1"/>
  <c r="K15" i="17"/>
  <c r="AI17" i="17"/>
  <c r="D9" i="18"/>
  <c r="EA28" i="18" s="1"/>
  <c r="N19" i="17"/>
  <c r="JN27" i="17"/>
  <c r="LQ28" i="17"/>
  <c r="LR28" i="17" s="1"/>
  <c r="K19" i="17"/>
  <c r="JP27" i="17"/>
  <c r="LS28" i="17"/>
  <c r="LT28" i="17" s="1"/>
  <c r="D8" i="18"/>
  <c r="DD7" i="18" s="1"/>
  <c r="N18" i="17"/>
  <c r="JR27" i="17"/>
  <c r="LU28" i="17"/>
  <c r="LV28" i="17" s="1"/>
  <c r="K18" i="17"/>
  <c r="D10" i="18"/>
  <c r="EJ7" i="18" s="1"/>
  <c r="N20" i="17"/>
  <c r="JT27" i="17"/>
  <c r="LW28" i="17"/>
  <c r="LX28" i="17" s="1"/>
  <c r="K20" i="17"/>
  <c r="FW4" i="18"/>
  <c r="FW28" i="18" s="1"/>
  <c r="GL28" i="18" s="1"/>
  <c r="CR4" i="18"/>
  <c r="GL4" i="18" s="1"/>
  <c r="CP28" i="18"/>
  <c r="M9" i="17"/>
  <c r="I9" i="17"/>
  <c r="J9" i="17"/>
  <c r="H12" i="17"/>
  <c r="Q9" i="17"/>
  <c r="G9" i="17"/>
  <c r="CC9" i="17"/>
  <c r="CF9" i="17" s="1"/>
  <c r="CG9" i="17" s="1"/>
  <c r="F12" i="17"/>
  <c r="R7" i="17"/>
  <c r="CD7" i="17"/>
  <c r="CE7" i="17" s="1"/>
  <c r="FW5" i="16"/>
  <c r="CR5" i="16"/>
  <c r="GL5" i="16" s="1"/>
  <c r="DZ28" i="16"/>
  <c r="FW12" i="16"/>
  <c r="CR12" i="16"/>
  <c r="GL12" i="16" s="1"/>
  <c r="FW14" i="16"/>
  <c r="CR14" i="16"/>
  <c r="GL14" i="16" s="1"/>
  <c r="FW19" i="16"/>
  <c r="CR19" i="16"/>
  <c r="GL19" i="16" s="1"/>
  <c r="FW21" i="16"/>
  <c r="CR21" i="16"/>
  <c r="GL21" i="16" s="1"/>
  <c r="FW26" i="16"/>
  <c r="CR26" i="16"/>
  <c r="GL26" i="16" s="1"/>
  <c r="FW8" i="16"/>
  <c r="FW9" i="16"/>
  <c r="CR9" i="16"/>
  <c r="GL9" i="16" s="1"/>
  <c r="FW13" i="16"/>
  <c r="CR13" i="16"/>
  <c r="GL13" i="16" s="1"/>
  <c r="FW15" i="16"/>
  <c r="CR15" i="16"/>
  <c r="GL15" i="16" s="1"/>
  <c r="FW17" i="16"/>
  <c r="CR17" i="16"/>
  <c r="GL17" i="16" s="1"/>
  <c r="CR20" i="16"/>
  <c r="GL20" i="16" s="1"/>
  <c r="FW20" i="16"/>
  <c r="CR22" i="16"/>
  <c r="GL22" i="16" s="1"/>
  <c r="FW22" i="16"/>
  <c r="FW23" i="16"/>
  <c r="FW24" i="16"/>
  <c r="FW27" i="16"/>
  <c r="FW11" i="16"/>
  <c r="CR11" i="16"/>
  <c r="GL11" i="16" s="1"/>
  <c r="FW18" i="16"/>
  <c r="CR18" i="16"/>
  <c r="GL18" i="16" s="1"/>
  <c r="FW25" i="16"/>
  <c r="CR25" i="16"/>
  <c r="GL25" i="16" s="1"/>
  <c r="FW7" i="16"/>
  <c r="CR7" i="16"/>
  <c r="GL7" i="16" s="1"/>
  <c r="FW10" i="16"/>
  <c r="CR10" i="16"/>
  <c r="GL10" i="16" s="1"/>
  <c r="FW16" i="16"/>
  <c r="CR16" i="16"/>
  <c r="GL16" i="16" s="1"/>
  <c r="MJ25" i="15"/>
  <c r="MM25" i="15" s="1"/>
  <c r="LY26" i="15"/>
  <c r="JW25" i="15"/>
  <c r="KI25" i="15"/>
  <c r="MK25" i="15"/>
  <c r="JW24" i="15"/>
  <c r="MJ24" i="15"/>
  <c r="MM24" i="15" s="1"/>
  <c r="LY25" i="15"/>
  <c r="KI24" i="15"/>
  <c r="MK24" i="15"/>
  <c r="JW23" i="15"/>
  <c r="MJ23" i="15"/>
  <c r="MM23" i="15" s="1"/>
  <c r="LY24" i="15"/>
  <c r="KI23" i="15"/>
  <c r="MK23" i="15"/>
  <c r="JW22" i="15"/>
  <c r="MJ22" i="15"/>
  <c r="MM22" i="15" s="1"/>
  <c r="LY23" i="15"/>
  <c r="KI22" i="15"/>
  <c r="MK22" i="15"/>
  <c r="JW21" i="15"/>
  <c r="MJ21" i="15"/>
  <c r="MM21" i="15" s="1"/>
  <c r="LY22" i="15"/>
  <c r="KI21" i="15"/>
  <c r="MK21" i="15"/>
  <c r="JW20" i="15"/>
  <c r="MJ20" i="15"/>
  <c r="MM20" i="15" s="1"/>
  <c r="LY21" i="15"/>
  <c r="KI20" i="15"/>
  <c r="MK20" i="15"/>
  <c r="JW19" i="15"/>
  <c r="MJ19" i="15"/>
  <c r="MM19" i="15" s="1"/>
  <c r="LY20" i="15"/>
  <c r="KI19" i="15"/>
  <c r="MK19" i="15"/>
  <c r="JW18" i="15"/>
  <c r="MJ18" i="15"/>
  <c r="MM18" i="15" s="1"/>
  <c r="LY19" i="15"/>
  <c r="KI18" i="15"/>
  <c r="MK18" i="15"/>
  <c r="JW17" i="15"/>
  <c r="MJ17" i="15"/>
  <c r="MM17" i="15" s="1"/>
  <c r="LY18" i="15"/>
  <c r="KI17" i="15"/>
  <c r="MK17" i="15"/>
  <c r="JW16" i="15"/>
  <c r="MJ16" i="15"/>
  <c r="MM16" i="15" s="1"/>
  <c r="LY17" i="15"/>
  <c r="KI16" i="15"/>
  <c r="MK16" i="15"/>
  <c r="JW15" i="15"/>
  <c r="MJ15" i="15"/>
  <c r="MM15" i="15" s="1"/>
  <c r="LY16" i="15"/>
  <c r="KI15" i="15"/>
  <c r="MK15" i="15"/>
  <c r="JW14" i="15"/>
  <c r="MJ14" i="15"/>
  <c r="MM14" i="15" s="1"/>
  <c r="LY15" i="15"/>
  <c r="KI14" i="15"/>
  <c r="MK14" i="15"/>
  <c r="JW13" i="15"/>
  <c r="MJ13" i="15"/>
  <c r="MM13" i="15" s="1"/>
  <c r="LY14" i="15"/>
  <c r="KI13" i="15"/>
  <c r="MK13" i="15"/>
  <c r="JW12" i="15"/>
  <c r="MJ12" i="15"/>
  <c r="MM12" i="15" s="1"/>
  <c r="LY13" i="15"/>
  <c r="KI12" i="15"/>
  <c r="MK12" i="15"/>
  <c r="JW11" i="15"/>
  <c r="MJ11" i="15"/>
  <c r="MM11" i="15" s="1"/>
  <c r="LY12" i="15"/>
  <c r="KI11" i="15"/>
  <c r="MK11" i="15"/>
  <c r="MJ10" i="15"/>
  <c r="MM10" i="15" s="1"/>
  <c r="LY11" i="15"/>
  <c r="JW10" i="15"/>
  <c r="KI10" i="15"/>
  <c r="MK10" i="15"/>
  <c r="JW9" i="15"/>
  <c r="MJ9" i="15"/>
  <c r="MM9" i="15" s="1"/>
  <c r="LY10" i="15"/>
  <c r="KI9" i="15"/>
  <c r="MK9" i="15"/>
  <c r="JW8" i="15"/>
  <c r="MJ8" i="15"/>
  <c r="MM8" i="15" s="1"/>
  <c r="LY9" i="15"/>
  <c r="KI8" i="15"/>
  <c r="MK8" i="15"/>
  <c r="JW7" i="15"/>
  <c r="MJ7" i="15"/>
  <c r="MM7" i="15" s="1"/>
  <c r="LY8" i="15"/>
  <c r="KI7" i="15"/>
  <c r="MK7" i="15"/>
  <c r="NA17" i="15"/>
  <c r="NC17" i="15"/>
  <c r="ND17" i="15" s="1"/>
  <c r="NK17" i="15"/>
  <c r="NL17" i="15" s="1"/>
  <c r="NM17" i="15" s="1"/>
  <c r="JW6" i="15"/>
  <c r="MJ6" i="15"/>
  <c r="LY7" i="15"/>
  <c r="LZ7" i="15"/>
  <c r="LJ27" i="15"/>
  <c r="K14" i="15"/>
  <c r="JV26" i="15"/>
  <c r="LI28" i="15"/>
  <c r="JF27" i="15"/>
  <c r="AH15" i="15" s="1"/>
  <c r="AH17" i="15" s="1"/>
  <c r="N15" i="15"/>
  <c r="D5" i="16"/>
  <c r="JH27" i="15"/>
  <c r="AI15" i="15" s="1"/>
  <c r="K15" i="15"/>
  <c r="AI17" i="15"/>
  <c r="LK28" i="15"/>
  <c r="LL28" i="15" s="1"/>
  <c r="N19" i="15"/>
  <c r="D9" i="16"/>
  <c r="EA28" i="16" s="1"/>
  <c r="EA5" i="16" s="1"/>
  <c r="K19" i="15"/>
  <c r="LQ28" i="15"/>
  <c r="LR28" i="15" s="1"/>
  <c r="JN27" i="15"/>
  <c r="LS28" i="15"/>
  <c r="LT28" i="15" s="1"/>
  <c r="JP27" i="15"/>
  <c r="D8" i="16"/>
  <c r="DD7" i="16" s="1"/>
  <c r="N18" i="15"/>
  <c r="K18" i="15"/>
  <c r="LU28" i="15"/>
  <c r="LV28" i="15" s="1"/>
  <c r="JR27" i="15"/>
  <c r="D10" i="16"/>
  <c r="EJ7" i="16" s="1"/>
  <c r="N20" i="15"/>
  <c r="K20" i="15"/>
  <c r="LW28" i="15"/>
  <c r="LX28" i="15" s="1"/>
  <c r="JT27" i="15"/>
  <c r="K12" i="15"/>
  <c r="L10" i="15"/>
  <c r="M10" i="15"/>
  <c r="NA16" i="15"/>
  <c r="NC16" i="15"/>
  <c r="ND16" i="15" s="1"/>
  <c r="NK16" i="15"/>
  <c r="NL16" i="15" s="1"/>
  <c r="NM16" i="15" s="1"/>
  <c r="BH4" i="16"/>
  <c r="BP28" i="16" s="1"/>
  <c r="BH5" i="16"/>
  <c r="BR28" i="16" s="1"/>
  <c r="AJ21" i="15"/>
  <c r="AJ20" i="15"/>
  <c r="I12" i="15"/>
  <c r="J12" i="15"/>
  <c r="H22" i="15"/>
  <c r="R9" i="15"/>
  <c r="CD9" i="15"/>
  <c r="CE9" i="15" s="1"/>
  <c r="G12" i="15"/>
  <c r="CD11" i="15" s="1"/>
  <c r="CE11" i="15" s="1"/>
  <c r="F22" i="15"/>
  <c r="CC11" i="15"/>
  <c r="CF11" i="15" s="1"/>
  <c r="CG11" i="15" s="1"/>
  <c r="CR4" i="16"/>
  <c r="GL4" i="16" s="1"/>
  <c r="FW4" i="16"/>
  <c r="CP28" i="16"/>
  <c r="IX28" i="16"/>
  <c r="CO6" i="16"/>
  <c r="CP6" i="16" s="1"/>
  <c r="CN28" i="16"/>
  <c r="LX8" i="13"/>
  <c r="LL8" i="13"/>
  <c r="LV8" i="13"/>
  <c r="LT8" i="13"/>
  <c r="LR8" i="13"/>
  <c r="LX9" i="13"/>
  <c r="LR9" i="13"/>
  <c r="LL9" i="13"/>
  <c r="LT9" i="13"/>
  <c r="LV9" i="13"/>
  <c r="LX10" i="13"/>
  <c r="LL10" i="13"/>
  <c r="LR10" i="13"/>
  <c r="LV10" i="13"/>
  <c r="LT10" i="13"/>
  <c r="LX13" i="13"/>
  <c r="LR13" i="13"/>
  <c r="LV13" i="13"/>
  <c r="LT13" i="13"/>
  <c r="LL13" i="13"/>
  <c r="LZ13" i="13" s="1"/>
  <c r="LX14" i="13"/>
  <c r="LT14" i="13"/>
  <c r="LL14" i="13"/>
  <c r="LR14" i="13"/>
  <c r="LV14" i="13"/>
  <c r="LX15" i="13"/>
  <c r="LV15" i="13"/>
  <c r="LT15" i="13"/>
  <c r="LL15" i="13"/>
  <c r="LR15" i="13"/>
  <c r="LL18" i="13"/>
  <c r="LX18" i="13"/>
  <c r="LV18" i="13"/>
  <c r="LT18" i="13"/>
  <c r="LR18" i="13"/>
  <c r="LX19" i="13"/>
  <c r="LL19" i="13"/>
  <c r="LV19" i="13"/>
  <c r="LT19" i="13"/>
  <c r="LR19" i="13"/>
  <c r="LR22" i="13"/>
  <c r="LX22" i="13"/>
  <c r="LT22" i="13"/>
  <c r="LV22" i="13"/>
  <c r="LL22" i="13"/>
  <c r="LZ22" i="13" s="1"/>
  <c r="LV25" i="13"/>
  <c r="LR25" i="13"/>
  <c r="LX25" i="13"/>
  <c r="LT25" i="13"/>
  <c r="LL25" i="13"/>
  <c r="LZ25" i="13" s="1"/>
  <c r="LX12" i="13"/>
  <c r="LR12" i="13"/>
  <c r="LV12" i="13"/>
  <c r="LL12" i="13"/>
  <c r="LT12" i="13"/>
  <c r="LX17" i="13"/>
  <c r="LV17" i="13"/>
  <c r="LT17" i="13"/>
  <c r="LR17" i="13"/>
  <c r="LL17" i="13"/>
  <c r="LZ17" i="13" s="1"/>
  <c r="LX21" i="13"/>
  <c r="LR21" i="13"/>
  <c r="LL21" i="13"/>
  <c r="LZ21" i="13" s="1"/>
  <c r="LT21" i="13"/>
  <c r="LV21" i="13"/>
  <c r="LV23" i="13"/>
  <c r="LT23" i="13"/>
  <c r="LL23" i="13"/>
  <c r="LX23" i="13"/>
  <c r="LR23" i="13"/>
  <c r="LR24" i="13"/>
  <c r="LL24" i="13"/>
  <c r="LX24" i="13"/>
  <c r="LT24" i="13"/>
  <c r="LV24" i="13"/>
  <c r="LL11" i="13"/>
  <c r="LR11" i="13"/>
  <c r="LT11" i="13"/>
  <c r="LX11" i="13"/>
  <c r="LV11" i="13"/>
  <c r="LX20" i="13"/>
  <c r="LL20" i="13"/>
  <c r="LR20" i="13"/>
  <c r="LV20" i="13"/>
  <c r="LT20" i="13"/>
  <c r="LT26" i="13"/>
  <c r="LL26" i="13"/>
  <c r="LV26" i="13"/>
  <c r="LX26" i="13"/>
  <c r="LR26" i="13"/>
  <c r="LR16" i="13"/>
  <c r="LX16" i="13"/>
  <c r="LV16" i="13"/>
  <c r="LT16" i="13"/>
  <c r="LL16" i="13"/>
  <c r="LZ16" i="13" s="1"/>
  <c r="ND23" i="13"/>
  <c r="ND11" i="13"/>
  <c r="CR9" i="14"/>
  <c r="GL9" i="14" s="1"/>
  <c r="FW9" i="14"/>
  <c r="CQ9" i="14"/>
  <c r="FW10" i="14"/>
  <c r="CR10" i="14"/>
  <c r="GL10" i="14" s="1"/>
  <c r="CQ10" i="14"/>
  <c r="FW13" i="14"/>
  <c r="CR13" i="14"/>
  <c r="GL13" i="14" s="1"/>
  <c r="CQ13" i="14"/>
  <c r="CR20" i="14"/>
  <c r="GL20" i="14" s="1"/>
  <c r="FW20" i="14"/>
  <c r="CQ20" i="14"/>
  <c r="FW21" i="14"/>
  <c r="CR21" i="14"/>
  <c r="GL21" i="14" s="1"/>
  <c r="CQ21" i="14"/>
  <c r="FW6" i="14"/>
  <c r="CR6" i="14"/>
  <c r="GL6" i="14" s="1"/>
  <c r="CQ6" i="14"/>
  <c r="FW8" i="14"/>
  <c r="CQ8" i="14"/>
  <c r="FW11" i="14"/>
  <c r="CR11" i="14"/>
  <c r="GL11" i="14" s="1"/>
  <c r="CQ11" i="14"/>
  <c r="FW12" i="14"/>
  <c r="CR12" i="14"/>
  <c r="GL12" i="14" s="1"/>
  <c r="CQ12" i="14"/>
  <c r="FW14" i="14"/>
  <c r="CR14" i="14"/>
  <c r="GL14" i="14" s="1"/>
  <c r="CQ14" i="14"/>
  <c r="FW17" i="14"/>
  <c r="CR17" i="14"/>
  <c r="GL17" i="14" s="1"/>
  <c r="CQ17" i="14"/>
  <c r="FW24" i="14"/>
  <c r="CQ24" i="14"/>
  <c r="CR7" i="14"/>
  <c r="GL7" i="14" s="1"/>
  <c r="FW7" i="14"/>
  <c r="CQ7" i="14"/>
  <c r="FW15" i="14"/>
  <c r="CR15" i="14"/>
  <c r="GL15" i="14" s="1"/>
  <c r="CQ15" i="14"/>
  <c r="CR16" i="14"/>
  <c r="GL16" i="14" s="1"/>
  <c r="FW16" i="14"/>
  <c r="CQ16" i="14"/>
  <c r="CR18" i="14"/>
  <c r="GL18" i="14" s="1"/>
  <c r="FW18" i="14"/>
  <c r="CQ18" i="14"/>
  <c r="FW19" i="14"/>
  <c r="CR19" i="14"/>
  <c r="GL19" i="14" s="1"/>
  <c r="CQ19" i="14"/>
  <c r="FW23" i="14"/>
  <c r="CQ23" i="14"/>
  <c r="FW25" i="14"/>
  <c r="CR25" i="14"/>
  <c r="GL25" i="14" s="1"/>
  <c r="CQ25" i="14"/>
  <c r="FW26" i="14"/>
  <c r="CR26" i="14"/>
  <c r="GL26" i="14" s="1"/>
  <c r="CQ26" i="14"/>
  <c r="FW27" i="14"/>
  <c r="CQ27" i="14"/>
  <c r="CR22" i="14"/>
  <c r="GL22" i="14" s="1"/>
  <c r="FW22" i="14"/>
  <c r="CQ22" i="14"/>
  <c r="JW25" i="13"/>
  <c r="MJ25" i="13"/>
  <c r="MM25" i="13" s="1"/>
  <c r="LY26" i="13"/>
  <c r="JW24" i="13"/>
  <c r="MJ24" i="13"/>
  <c r="MM24" i="13" s="1"/>
  <c r="LY25" i="13"/>
  <c r="KI24" i="13" s="1"/>
  <c r="MK24" i="13"/>
  <c r="JW23" i="13"/>
  <c r="MJ23" i="13"/>
  <c r="MM23" i="13" s="1"/>
  <c r="LY24" i="13"/>
  <c r="JW22" i="13"/>
  <c r="MJ22" i="13"/>
  <c r="MM22" i="13" s="1"/>
  <c r="LY23" i="13"/>
  <c r="JW21" i="13"/>
  <c r="MJ21" i="13"/>
  <c r="MM21" i="13" s="1"/>
  <c r="LY22" i="13"/>
  <c r="KI21" i="13"/>
  <c r="MK21" i="13"/>
  <c r="JW20" i="13"/>
  <c r="MJ20" i="13"/>
  <c r="MM20" i="13" s="1"/>
  <c r="LY21" i="13"/>
  <c r="KI20" i="13"/>
  <c r="MK20" i="13"/>
  <c r="JW19" i="13"/>
  <c r="MJ19" i="13"/>
  <c r="MM19" i="13" s="1"/>
  <c r="LY20" i="13"/>
  <c r="JW18" i="13"/>
  <c r="MJ18" i="13"/>
  <c r="MM18" i="13" s="1"/>
  <c r="LY19" i="13"/>
  <c r="JW17" i="13"/>
  <c r="MJ17" i="13"/>
  <c r="MM17" i="13" s="1"/>
  <c r="LY18" i="13"/>
  <c r="JW16" i="13"/>
  <c r="MJ16" i="13"/>
  <c r="MM16" i="13" s="1"/>
  <c r="LY17" i="13"/>
  <c r="KI16" i="13"/>
  <c r="MK16" i="13"/>
  <c r="MJ15" i="13"/>
  <c r="MM15" i="13" s="1"/>
  <c r="LY16" i="13"/>
  <c r="JW15" i="13"/>
  <c r="KI15" i="13"/>
  <c r="MK15" i="13"/>
  <c r="MJ14" i="13"/>
  <c r="MM14" i="13" s="1"/>
  <c r="LY15" i="13"/>
  <c r="JW14" i="13"/>
  <c r="LY14" i="13"/>
  <c r="JW13" i="13"/>
  <c r="MJ13" i="13"/>
  <c r="MM13" i="13" s="1"/>
  <c r="MJ12" i="13"/>
  <c r="MM12" i="13" s="1"/>
  <c r="JW12" i="13"/>
  <c r="LY13" i="13"/>
  <c r="KI12" i="13" s="1"/>
  <c r="MK12" i="13"/>
  <c r="MJ11" i="13"/>
  <c r="MM11" i="13" s="1"/>
  <c r="LY12" i="13"/>
  <c r="JW11" i="13"/>
  <c r="JW10" i="13"/>
  <c r="MJ10" i="13"/>
  <c r="MM10" i="13" s="1"/>
  <c r="LY11" i="13"/>
  <c r="JW9" i="13"/>
  <c r="MJ9" i="13"/>
  <c r="MM9" i="13" s="1"/>
  <c r="LY10" i="13"/>
  <c r="JW8" i="13"/>
  <c r="MJ8" i="13"/>
  <c r="MM8" i="13" s="1"/>
  <c r="LY9" i="13"/>
  <c r="JW7" i="13"/>
  <c r="MJ7" i="13"/>
  <c r="MM7" i="13" s="1"/>
  <c r="LY8" i="13"/>
  <c r="AJ21" i="13"/>
  <c r="N16" i="13"/>
  <c r="D6" i="14"/>
  <c r="LN28" i="13"/>
  <c r="LP28" i="13"/>
  <c r="D7" i="14"/>
  <c r="N17" i="13"/>
  <c r="ND35" i="13"/>
  <c r="NK35" i="13"/>
  <c r="NL35" i="13" s="1"/>
  <c r="NM35" i="13" s="1"/>
  <c r="Q25" i="13"/>
  <c r="R25" i="13"/>
  <c r="L10" i="13"/>
  <c r="M10" i="13"/>
  <c r="K12" i="13"/>
  <c r="JH27" i="13"/>
  <c r="AI15" i="13" s="1"/>
  <c r="AI17" i="13" s="1"/>
  <c r="LK28" i="13"/>
  <c r="K15" i="13"/>
  <c r="JT27" i="13"/>
  <c r="LW28" i="13"/>
  <c r="K20" i="13"/>
  <c r="JV26" i="13"/>
  <c r="JF27" i="13"/>
  <c r="AH15" i="13" s="1"/>
  <c r="AH17" i="13" s="1"/>
  <c r="LI28" i="13"/>
  <c r="K14" i="13"/>
  <c r="MJ6" i="13"/>
  <c r="LY7" i="13"/>
  <c r="JW6" i="13"/>
  <c r="LZ7" i="13"/>
  <c r="LJ27" i="13"/>
  <c r="JN27" i="13"/>
  <c r="LQ28" i="13"/>
  <c r="K19" i="13"/>
  <c r="JR27" i="13"/>
  <c r="LU28" i="13"/>
  <c r="K18" i="13"/>
  <c r="JP27" i="13"/>
  <c r="LS28" i="13"/>
  <c r="J12" i="13"/>
  <c r="H22" i="13"/>
  <c r="I12" i="13"/>
  <c r="G12" i="13"/>
  <c r="CD11" i="13" s="1"/>
  <c r="CE11" i="13" s="1"/>
  <c r="F22" i="13"/>
  <c r="CC11" i="13"/>
  <c r="CF11" i="13" s="1"/>
  <c r="CG11" i="13" s="1"/>
  <c r="CR4" i="14"/>
  <c r="GL4" i="14" s="1"/>
  <c r="FW4" i="14"/>
  <c r="CP28" i="14"/>
  <c r="IX28" i="14"/>
  <c r="CO5" i="14"/>
  <c r="CP5" i="14" s="1"/>
  <c r="CN28" i="14"/>
  <c r="LJ11" i="5"/>
  <c r="LH11" i="5"/>
  <c r="LH16" i="5"/>
  <c r="LJ16" i="5"/>
  <c r="AI19" i="5"/>
  <c r="AI20" i="5" s="1"/>
  <c r="AH19" i="5"/>
  <c r="AH20" i="5" s="1"/>
  <c r="LJ19" i="5"/>
  <c r="LH19" i="5"/>
  <c r="LH9" i="5"/>
  <c r="LJ9" i="5"/>
  <c r="LJ18" i="5"/>
  <c r="LH18" i="5"/>
  <c r="LH24" i="5"/>
  <c r="LJ24" i="5"/>
  <c r="LJ25" i="5"/>
  <c r="LH25" i="5"/>
  <c r="LR7" i="5"/>
  <c r="LJ7" i="5"/>
  <c r="LX7" i="5"/>
  <c r="LV7" i="5"/>
  <c r="LL7" i="5"/>
  <c r="LT7" i="5"/>
  <c r="LJ10" i="5"/>
  <c r="LH10" i="5"/>
  <c r="LJ22" i="5"/>
  <c r="LH22" i="5"/>
  <c r="LH15" i="5"/>
  <c r="LJ15" i="5"/>
  <c r="LJ26" i="5"/>
  <c r="LH26" i="5"/>
  <c r="LH12" i="5"/>
  <c r="LJ12" i="5"/>
  <c r="LH21" i="5"/>
  <c r="LJ21" i="5"/>
  <c r="LJ8" i="5"/>
  <c r="LH8" i="5"/>
  <c r="LH13" i="5"/>
  <c r="LJ13" i="5"/>
  <c r="LJ20" i="5"/>
  <c r="LH20" i="5"/>
  <c r="LJ14" i="5"/>
  <c r="LH14" i="5"/>
  <c r="LJ17" i="5"/>
  <c r="LH17" i="5"/>
  <c r="LJ23" i="5"/>
  <c r="LH23" i="5"/>
  <c r="CR7" i="8"/>
  <c r="GL7" i="8" s="1"/>
  <c r="FW7" i="8"/>
  <c r="FW6" i="8"/>
  <c r="CR6" i="8"/>
  <c r="GL6" i="8" s="1"/>
  <c r="FW8" i="8"/>
  <c r="FW9" i="8"/>
  <c r="CR9" i="8"/>
  <c r="GL9" i="8" s="1"/>
  <c r="FW10" i="8"/>
  <c r="CR10" i="8"/>
  <c r="GL10" i="8" s="1"/>
  <c r="CR11" i="8"/>
  <c r="GL11" i="8" s="1"/>
  <c r="FW11" i="8"/>
  <c r="CR12" i="8"/>
  <c r="GL12" i="8" s="1"/>
  <c r="FW12" i="8"/>
  <c r="CR13" i="8"/>
  <c r="GL13" i="8" s="1"/>
  <c r="FW13" i="8"/>
  <c r="CR14" i="8"/>
  <c r="GL14" i="8" s="1"/>
  <c r="FW14" i="8"/>
  <c r="FW15" i="8"/>
  <c r="CR15" i="8"/>
  <c r="GL15" i="8" s="1"/>
  <c r="FW16" i="8"/>
  <c r="CR16" i="8"/>
  <c r="GL16" i="8" s="1"/>
  <c r="CR17" i="8"/>
  <c r="GL17" i="8" s="1"/>
  <c r="FW17" i="8"/>
  <c r="CR18" i="8"/>
  <c r="GL18" i="8" s="1"/>
  <c r="FW18" i="8"/>
  <c r="FW19" i="8"/>
  <c r="CR19" i="8"/>
  <c r="GL19" i="8" s="1"/>
  <c r="FW20" i="8"/>
  <c r="CR20" i="8"/>
  <c r="GL20" i="8" s="1"/>
  <c r="CR21" i="8"/>
  <c r="GL21" i="8" s="1"/>
  <c r="FW21" i="8"/>
  <c r="FW22" i="8"/>
  <c r="CR22" i="8"/>
  <c r="GL22" i="8" s="1"/>
  <c r="FW23" i="8"/>
  <c r="FW24" i="8"/>
  <c r="FW25" i="8"/>
  <c r="CR25" i="8"/>
  <c r="GL25" i="8" s="1"/>
  <c r="CR26" i="8"/>
  <c r="GL26" i="8" s="1"/>
  <c r="FW26" i="8"/>
  <c r="FW27" i="8"/>
  <c r="CR4" i="8"/>
  <c r="GL4" i="8" s="1"/>
  <c r="FW4" i="8"/>
  <c r="DM28" i="8"/>
  <c r="DZ28" i="8"/>
  <c r="CO5" i="8"/>
  <c r="CP5" i="8" s="1"/>
  <c r="CP28" i="8" s="1"/>
  <c r="CN28" i="8"/>
  <c r="IX4" i="8"/>
  <c r="IV28" i="8"/>
  <c r="IW4" i="8"/>
  <c r="IX5" i="8"/>
  <c r="IW5" i="8"/>
  <c r="IX6" i="8"/>
  <c r="IX7" i="8"/>
  <c r="IW7" i="8"/>
  <c r="IX9" i="8"/>
  <c r="IW9" i="8"/>
  <c r="IX10" i="8"/>
  <c r="IW10" i="8"/>
  <c r="IX11" i="8"/>
  <c r="IW11" i="8"/>
  <c r="IX12" i="8"/>
  <c r="IW12" i="8"/>
  <c r="IX13" i="8"/>
  <c r="IW13" i="8"/>
  <c r="IX14" i="8"/>
  <c r="IW14" i="8"/>
  <c r="IX16" i="8"/>
  <c r="IW16" i="8"/>
  <c r="IX18" i="8"/>
  <c r="IW18" i="8"/>
  <c r="IX19" i="8"/>
  <c r="IW19" i="8"/>
  <c r="IX20" i="8"/>
  <c r="IW20" i="8"/>
  <c r="IX21" i="8"/>
  <c r="IW21" i="8"/>
  <c r="IX22" i="8"/>
  <c r="IW22" i="8"/>
  <c r="IX25" i="8"/>
  <c r="IW25" i="8"/>
  <c r="IX26" i="8"/>
  <c r="IW26" i="8"/>
  <c r="CP28" i="20" l="1"/>
  <c r="CR5" i="20"/>
  <c r="GL5" i="20" s="1"/>
  <c r="FW5" i="20"/>
  <c r="CQ5" i="20"/>
  <c r="EB5" i="20"/>
  <c r="GN5" i="20" s="1"/>
  <c r="FY5" i="20"/>
  <c r="KS25" i="19"/>
  <c r="LA25" i="19" s="1"/>
  <c r="MH25" i="19" s="1"/>
  <c r="MN25" i="19" s="1"/>
  <c r="KQ25" i="19"/>
  <c r="KS24" i="19"/>
  <c r="LA24" i="19" s="1"/>
  <c r="MH24" i="19" s="1"/>
  <c r="MN24" i="19" s="1"/>
  <c r="KQ24" i="19"/>
  <c r="KS23" i="19"/>
  <c r="LA23" i="19" s="1"/>
  <c r="MH23" i="19" s="1"/>
  <c r="MN23" i="19" s="1"/>
  <c r="KQ23" i="19"/>
  <c r="KS22" i="19"/>
  <c r="LA22" i="19" s="1"/>
  <c r="MH22" i="19" s="1"/>
  <c r="MN22" i="19" s="1"/>
  <c r="KQ22" i="19"/>
  <c r="KS21" i="19"/>
  <c r="LA21" i="19" s="1"/>
  <c r="MH21" i="19" s="1"/>
  <c r="MN21" i="19" s="1"/>
  <c r="KQ21" i="19"/>
  <c r="KS20" i="19"/>
  <c r="LA20" i="19" s="1"/>
  <c r="MH20" i="19" s="1"/>
  <c r="MN20" i="19" s="1"/>
  <c r="KQ20" i="19"/>
  <c r="KS19" i="19"/>
  <c r="LA19" i="19" s="1"/>
  <c r="MH19" i="19" s="1"/>
  <c r="MN19" i="19" s="1"/>
  <c r="KQ19" i="19"/>
  <c r="KS18" i="19"/>
  <c r="LA18" i="19" s="1"/>
  <c r="MH18" i="19" s="1"/>
  <c r="MN18" i="19" s="1"/>
  <c r="KQ18" i="19"/>
  <c r="KS17" i="19"/>
  <c r="LA17" i="19" s="1"/>
  <c r="MH17" i="19" s="1"/>
  <c r="MN17" i="19" s="1"/>
  <c r="KQ17" i="19"/>
  <c r="KS16" i="19"/>
  <c r="LA16" i="19" s="1"/>
  <c r="MH16" i="19" s="1"/>
  <c r="MN16" i="19" s="1"/>
  <c r="KQ16" i="19"/>
  <c r="KS15" i="19"/>
  <c r="LA15" i="19" s="1"/>
  <c r="MH15" i="19" s="1"/>
  <c r="MN15" i="19" s="1"/>
  <c r="KQ15" i="19"/>
  <c r="KS14" i="19"/>
  <c r="LA14" i="19" s="1"/>
  <c r="MH14" i="19" s="1"/>
  <c r="MN14" i="19" s="1"/>
  <c r="KQ14" i="19"/>
  <c r="I12" i="19"/>
  <c r="J12" i="19"/>
  <c r="H22" i="19"/>
  <c r="R9" i="19"/>
  <c r="CD9" i="19"/>
  <c r="CE9" i="19" s="1"/>
  <c r="G12" i="19"/>
  <c r="CD11" i="19" s="1"/>
  <c r="CE11" i="19" s="1"/>
  <c r="F22" i="19"/>
  <c r="CC11" i="19"/>
  <c r="CF11" i="19" s="1"/>
  <c r="CG11" i="19" s="1"/>
  <c r="KS12" i="19"/>
  <c r="LA12" i="19" s="1"/>
  <c r="MH12" i="19" s="1"/>
  <c r="MN12" i="19" s="1"/>
  <c r="KQ12" i="19"/>
  <c r="KS11" i="19"/>
  <c r="LA11" i="19" s="1"/>
  <c r="MH11" i="19" s="1"/>
  <c r="MN11" i="19" s="1"/>
  <c r="KQ11" i="19"/>
  <c r="KS10" i="19"/>
  <c r="LA10" i="19" s="1"/>
  <c r="MH10" i="19" s="1"/>
  <c r="MN10" i="19" s="1"/>
  <c r="KQ10" i="19"/>
  <c r="KS9" i="19"/>
  <c r="LA9" i="19" s="1"/>
  <c r="MH9" i="19" s="1"/>
  <c r="MN9" i="19" s="1"/>
  <c r="KQ9" i="19"/>
  <c r="KS8" i="19"/>
  <c r="LA8" i="19" s="1"/>
  <c r="MH8" i="19" s="1"/>
  <c r="MN8" i="19" s="1"/>
  <c r="KQ8" i="19"/>
  <c r="KS7" i="19"/>
  <c r="LA7" i="19" s="1"/>
  <c r="MH7" i="19" s="1"/>
  <c r="MN7" i="19" s="1"/>
  <c r="KQ7" i="19"/>
  <c r="MM6" i="19"/>
  <c r="MJ26" i="19"/>
  <c r="MM26" i="19" s="1"/>
  <c r="KI6" i="19"/>
  <c r="MK6" i="19"/>
  <c r="MK26" i="19" s="1"/>
  <c r="LZ27" i="19"/>
  <c r="LJ28" i="19"/>
  <c r="D4" i="20"/>
  <c r="AM4" i="20"/>
  <c r="AM6" i="20" s="1"/>
  <c r="N14" i="19"/>
  <c r="JW26" i="19"/>
  <c r="JV27" i="19"/>
  <c r="LY28" i="19"/>
  <c r="AH19" i="19"/>
  <c r="AH16" i="19"/>
  <c r="L14" i="19"/>
  <c r="M14" i="19"/>
  <c r="K21" i="19"/>
  <c r="O15" i="19"/>
  <c r="R15" i="19" s="1"/>
  <c r="P15" i="19"/>
  <c r="Q15" i="19"/>
  <c r="MZ15" i="19"/>
  <c r="AI19" i="19"/>
  <c r="AI16" i="19"/>
  <c r="L15" i="19"/>
  <c r="M15" i="19"/>
  <c r="EA12" i="20"/>
  <c r="EA14" i="20"/>
  <c r="EA17" i="20"/>
  <c r="EA9" i="20"/>
  <c r="EA15" i="20"/>
  <c r="EA11" i="20"/>
  <c r="EA7" i="20"/>
  <c r="EA24" i="20"/>
  <c r="FY24" i="20" s="1"/>
  <c r="EA26" i="20"/>
  <c r="EA22" i="20"/>
  <c r="EA21" i="20"/>
  <c r="EA13" i="20"/>
  <c r="EA19" i="20"/>
  <c r="EA16" i="20"/>
  <c r="EA18" i="20"/>
  <c r="EA10" i="20"/>
  <c r="EA25" i="20"/>
  <c r="EA8" i="20"/>
  <c r="FY8" i="20" s="1"/>
  <c r="EA20" i="20"/>
  <c r="EA27" i="20"/>
  <c r="FY27" i="20" s="1"/>
  <c r="EA23" i="20"/>
  <c r="FY23" i="20" s="1"/>
  <c r="EA6" i="20"/>
  <c r="EA4" i="20"/>
  <c r="EB28" i="20"/>
  <c r="O19" i="19"/>
  <c r="R19" i="19" s="1"/>
  <c r="P19" i="19"/>
  <c r="Q19" i="19"/>
  <c r="MZ19" i="19"/>
  <c r="L19" i="19"/>
  <c r="M19" i="19"/>
  <c r="DD4" i="20"/>
  <c r="DB4" i="20" s="1"/>
  <c r="DD5" i="20"/>
  <c r="DA5" i="20" s="1"/>
  <c r="DA7" i="20" s="1"/>
  <c r="DL28" i="20" s="1"/>
  <c r="DD6" i="20"/>
  <c r="DC6" i="20" s="1"/>
  <c r="O18" i="19"/>
  <c r="R18" i="19" s="1"/>
  <c r="P18" i="19"/>
  <c r="Q18" i="19"/>
  <c r="MZ18" i="19"/>
  <c r="L18" i="19"/>
  <c r="M18" i="19"/>
  <c r="EJ4" i="20"/>
  <c r="ER28" i="20" s="1"/>
  <c r="EJ5" i="20"/>
  <c r="ET28" i="20" s="1"/>
  <c r="EJ6" i="20"/>
  <c r="EV28" i="20" s="1"/>
  <c r="O20" i="19"/>
  <c r="R20" i="19" s="1"/>
  <c r="P20" i="19"/>
  <c r="Q20" i="19"/>
  <c r="MZ20" i="19"/>
  <c r="L20" i="19"/>
  <c r="M20" i="19"/>
  <c r="K22" i="19"/>
  <c r="M12" i="19"/>
  <c r="L12" i="19"/>
  <c r="BR4" i="20"/>
  <c r="BR5" i="20"/>
  <c r="BR6" i="20"/>
  <c r="BR17" i="20"/>
  <c r="BR26" i="20"/>
  <c r="BR7" i="20"/>
  <c r="BR22" i="20"/>
  <c r="BR24" i="20"/>
  <c r="BR8" i="20"/>
  <c r="BR9" i="20"/>
  <c r="BR10" i="20"/>
  <c r="BR11" i="20"/>
  <c r="BR12" i="20"/>
  <c r="BR13" i="20"/>
  <c r="BR16" i="20"/>
  <c r="BR18" i="20"/>
  <c r="BR19" i="20"/>
  <c r="BR20" i="20"/>
  <c r="BR14" i="20"/>
  <c r="BR21" i="20"/>
  <c r="BR25" i="20"/>
  <c r="BR27" i="20"/>
  <c r="BR15" i="20"/>
  <c r="BR23" i="20"/>
  <c r="KS13" i="19"/>
  <c r="LA13" i="19" s="1"/>
  <c r="MH13" i="19" s="1"/>
  <c r="MN13" i="19" s="1"/>
  <c r="KQ13" i="19"/>
  <c r="CQ24" i="20"/>
  <c r="FW24" i="20"/>
  <c r="CQ7" i="20"/>
  <c r="CR7" i="20"/>
  <c r="GL7" i="20" s="1"/>
  <c r="FW7" i="20"/>
  <c r="CQ14" i="20"/>
  <c r="FW14" i="20"/>
  <c r="CR14" i="20"/>
  <c r="GL14" i="20" s="1"/>
  <c r="CQ18" i="20"/>
  <c r="CR18" i="20"/>
  <c r="GL18" i="20" s="1"/>
  <c r="FW18" i="20"/>
  <c r="CQ15" i="20"/>
  <c r="CR15" i="20"/>
  <c r="GL15" i="20" s="1"/>
  <c r="FW15" i="20"/>
  <c r="CQ16" i="20"/>
  <c r="FW16" i="20"/>
  <c r="CR16" i="20"/>
  <c r="GL16" i="20" s="1"/>
  <c r="CQ9" i="20"/>
  <c r="CR9" i="20"/>
  <c r="GL9" i="20" s="1"/>
  <c r="FW9" i="20"/>
  <c r="CQ12" i="20"/>
  <c r="CR12" i="20"/>
  <c r="GL12" i="20" s="1"/>
  <c r="FW12" i="20"/>
  <c r="CQ10" i="20"/>
  <c r="CR10" i="20"/>
  <c r="GL10" i="20" s="1"/>
  <c r="FW10" i="20"/>
  <c r="CQ27" i="20"/>
  <c r="FW27" i="20"/>
  <c r="CQ11" i="20"/>
  <c r="CR11" i="20"/>
  <c r="GL11" i="20" s="1"/>
  <c r="FW11" i="20"/>
  <c r="CQ6" i="20"/>
  <c r="CR6" i="20"/>
  <c r="GL6" i="20" s="1"/>
  <c r="FW6" i="20"/>
  <c r="CQ19" i="20"/>
  <c r="CR19" i="20"/>
  <c r="GL19" i="20" s="1"/>
  <c r="FW19" i="20"/>
  <c r="CQ13" i="20"/>
  <c r="FW13" i="20"/>
  <c r="CR13" i="20"/>
  <c r="GL13" i="20" s="1"/>
  <c r="CQ22" i="20"/>
  <c r="FW22" i="20"/>
  <c r="CR22" i="20"/>
  <c r="GL22" i="20" s="1"/>
  <c r="CQ8" i="20"/>
  <c r="FW8" i="20"/>
  <c r="CQ25" i="20"/>
  <c r="CR25" i="20"/>
  <c r="GL25" i="20" s="1"/>
  <c r="FW25" i="20"/>
  <c r="CQ23" i="20"/>
  <c r="FW23" i="20"/>
  <c r="CQ20" i="20"/>
  <c r="CR20" i="20"/>
  <c r="GL20" i="20" s="1"/>
  <c r="FW20" i="20"/>
  <c r="CQ21" i="20"/>
  <c r="FW21" i="20"/>
  <c r="CR21" i="20"/>
  <c r="GL21" i="20" s="1"/>
  <c r="CQ26" i="20"/>
  <c r="FW26" i="20"/>
  <c r="CR26" i="20"/>
  <c r="GL26" i="20" s="1"/>
  <c r="CQ17" i="20"/>
  <c r="FW17" i="20"/>
  <c r="CR17" i="20"/>
  <c r="GL17" i="20" s="1"/>
  <c r="KS25" i="17"/>
  <c r="LA25" i="17" s="1"/>
  <c r="MH25" i="17" s="1"/>
  <c r="MN25" i="17" s="1"/>
  <c r="KQ25" i="17"/>
  <c r="KS24" i="17"/>
  <c r="LA24" i="17" s="1"/>
  <c r="MH24" i="17" s="1"/>
  <c r="MN24" i="17" s="1"/>
  <c r="KQ24" i="17"/>
  <c r="KS23" i="17"/>
  <c r="LA23" i="17" s="1"/>
  <c r="MH23" i="17" s="1"/>
  <c r="MN23" i="17" s="1"/>
  <c r="KQ23" i="17"/>
  <c r="KS22" i="17"/>
  <c r="LA22" i="17" s="1"/>
  <c r="MH22" i="17" s="1"/>
  <c r="MN22" i="17" s="1"/>
  <c r="KQ22" i="17"/>
  <c r="KS21" i="17"/>
  <c r="LA21" i="17" s="1"/>
  <c r="MH21" i="17" s="1"/>
  <c r="MN21" i="17" s="1"/>
  <c r="KQ21" i="17"/>
  <c r="KS20" i="17"/>
  <c r="LA20" i="17" s="1"/>
  <c r="MH20" i="17" s="1"/>
  <c r="MN20" i="17" s="1"/>
  <c r="KQ20" i="17"/>
  <c r="KS19" i="17"/>
  <c r="LA19" i="17" s="1"/>
  <c r="MH19" i="17" s="1"/>
  <c r="MN19" i="17" s="1"/>
  <c r="KQ19" i="17"/>
  <c r="KS18" i="17"/>
  <c r="LA18" i="17" s="1"/>
  <c r="MH18" i="17" s="1"/>
  <c r="MN18" i="17" s="1"/>
  <c r="KQ18" i="17"/>
  <c r="KS17" i="17"/>
  <c r="LA17" i="17" s="1"/>
  <c r="MH17" i="17" s="1"/>
  <c r="MN17" i="17" s="1"/>
  <c r="KQ17" i="17"/>
  <c r="KS16" i="17"/>
  <c r="LA16" i="17" s="1"/>
  <c r="MH16" i="17" s="1"/>
  <c r="MN16" i="17" s="1"/>
  <c r="KQ16" i="17"/>
  <c r="KS15" i="17"/>
  <c r="LA15" i="17" s="1"/>
  <c r="MH15" i="17" s="1"/>
  <c r="MN15" i="17" s="1"/>
  <c r="KQ15" i="17"/>
  <c r="KS14" i="17"/>
  <c r="LA14" i="17" s="1"/>
  <c r="MH14" i="17" s="1"/>
  <c r="MN14" i="17" s="1"/>
  <c r="KQ14" i="17"/>
  <c r="KS13" i="17"/>
  <c r="LA13" i="17" s="1"/>
  <c r="MH13" i="17" s="1"/>
  <c r="MN13" i="17" s="1"/>
  <c r="KQ13" i="17"/>
  <c r="KS12" i="17"/>
  <c r="LA12" i="17" s="1"/>
  <c r="MH12" i="17" s="1"/>
  <c r="MN12" i="17" s="1"/>
  <c r="KQ12" i="17"/>
  <c r="KS11" i="17"/>
  <c r="LA11" i="17" s="1"/>
  <c r="MH11" i="17" s="1"/>
  <c r="MN11" i="17" s="1"/>
  <c r="KQ11" i="17"/>
  <c r="KS10" i="17"/>
  <c r="LA10" i="17" s="1"/>
  <c r="MH10" i="17" s="1"/>
  <c r="MN10" i="17" s="1"/>
  <c r="KQ10" i="17"/>
  <c r="KS9" i="17"/>
  <c r="LA9" i="17" s="1"/>
  <c r="MH9" i="17" s="1"/>
  <c r="MN9" i="17" s="1"/>
  <c r="KQ9" i="17"/>
  <c r="KS8" i="17"/>
  <c r="LA8" i="17" s="1"/>
  <c r="MH8" i="17" s="1"/>
  <c r="MN8" i="17" s="1"/>
  <c r="KQ8" i="17"/>
  <c r="KS7" i="17"/>
  <c r="LA7" i="17" s="1"/>
  <c r="MH7" i="17" s="1"/>
  <c r="MN7" i="17" s="1"/>
  <c r="KQ7" i="17"/>
  <c r="O16" i="17"/>
  <c r="R16" i="17" s="1"/>
  <c r="P16" i="17"/>
  <c r="Q16" i="17"/>
  <c r="MZ16" i="17"/>
  <c r="BS28" i="18"/>
  <c r="BT28" i="18" s="1"/>
  <c r="BH6" i="18"/>
  <c r="O17" i="17"/>
  <c r="R17" i="17" s="1"/>
  <c r="P17" i="17"/>
  <c r="Q17" i="17"/>
  <c r="MZ17" i="17"/>
  <c r="M12" i="17"/>
  <c r="L12" i="17"/>
  <c r="MM6" i="17"/>
  <c r="MJ26" i="17"/>
  <c r="MM26" i="17" s="1"/>
  <c r="KI6" i="17"/>
  <c r="MK6" i="17"/>
  <c r="MK26" i="17" s="1"/>
  <c r="LZ27" i="17"/>
  <c r="LJ28" i="17"/>
  <c r="D4" i="18"/>
  <c r="AM4" i="18"/>
  <c r="AM6" i="18" s="1"/>
  <c r="N14" i="17"/>
  <c r="JW26" i="17"/>
  <c r="JV27" i="17"/>
  <c r="LY28" i="17"/>
  <c r="AH19" i="17"/>
  <c r="AH16" i="17"/>
  <c r="L14" i="17"/>
  <c r="M14" i="17"/>
  <c r="K21" i="17"/>
  <c r="K22" i="17" s="1"/>
  <c r="O15" i="17"/>
  <c r="R15" i="17" s="1"/>
  <c r="P15" i="17"/>
  <c r="Q15" i="17"/>
  <c r="MZ15" i="17"/>
  <c r="AI19" i="17"/>
  <c r="AI16" i="17"/>
  <c r="L15" i="17"/>
  <c r="M15" i="17"/>
  <c r="EA25" i="18"/>
  <c r="EA11" i="18"/>
  <c r="EA16" i="18"/>
  <c r="EA6" i="18"/>
  <c r="EA17" i="18"/>
  <c r="EA12" i="18"/>
  <c r="EA5" i="18"/>
  <c r="EA20" i="18"/>
  <c r="EA14" i="18"/>
  <c r="EA7" i="18"/>
  <c r="EA21" i="18"/>
  <c r="EA10" i="18"/>
  <c r="EA27" i="18"/>
  <c r="FY27" i="18" s="1"/>
  <c r="EA9" i="18"/>
  <c r="EA24" i="18"/>
  <c r="FY24" i="18" s="1"/>
  <c r="EA15" i="18"/>
  <c r="EA13" i="18"/>
  <c r="EA22" i="18"/>
  <c r="EA4" i="18"/>
  <c r="EA26" i="18"/>
  <c r="EA23" i="18"/>
  <c r="FY23" i="18" s="1"/>
  <c r="EA8" i="18"/>
  <c r="FY8" i="18" s="1"/>
  <c r="EA18" i="18"/>
  <c r="EA19" i="18"/>
  <c r="EB28" i="18"/>
  <c r="O19" i="17"/>
  <c r="R19" i="17" s="1"/>
  <c r="P19" i="17"/>
  <c r="Q19" i="17"/>
  <c r="MZ19" i="17"/>
  <c r="L19" i="17"/>
  <c r="M19" i="17"/>
  <c r="DD4" i="18"/>
  <c r="DB4" i="18" s="1"/>
  <c r="DD5" i="18"/>
  <c r="DA5" i="18" s="1"/>
  <c r="DA7" i="18" s="1"/>
  <c r="DL28" i="18" s="1"/>
  <c r="DD6" i="18"/>
  <c r="DC6" i="18" s="1"/>
  <c r="O18" i="17"/>
  <c r="R18" i="17" s="1"/>
  <c r="P18" i="17"/>
  <c r="Q18" i="17"/>
  <c r="MZ18" i="17"/>
  <c r="L18" i="17"/>
  <c r="M18" i="17"/>
  <c r="EJ4" i="18"/>
  <c r="ER28" i="18" s="1"/>
  <c r="EJ6" i="18"/>
  <c r="EV28" i="18" s="1"/>
  <c r="EJ5" i="18"/>
  <c r="ET28" i="18" s="1"/>
  <c r="O20" i="17"/>
  <c r="R20" i="17" s="1"/>
  <c r="P20" i="17"/>
  <c r="Q20" i="17"/>
  <c r="MZ20" i="17"/>
  <c r="L20" i="17"/>
  <c r="M20" i="17"/>
  <c r="I12" i="17"/>
  <c r="J12" i="17"/>
  <c r="H22" i="17"/>
  <c r="R9" i="17"/>
  <c r="CD9" i="17"/>
  <c r="CE9" i="17" s="1"/>
  <c r="G12" i="17"/>
  <c r="CD11" i="17" s="1"/>
  <c r="CE11" i="17" s="1"/>
  <c r="F22" i="17"/>
  <c r="CC11" i="17"/>
  <c r="CF11" i="17" s="1"/>
  <c r="CG11" i="17" s="1"/>
  <c r="IX28" i="18"/>
  <c r="CR28" i="18"/>
  <c r="CQ8" i="18"/>
  <c r="CQ11" i="18"/>
  <c r="CQ5" i="18"/>
  <c r="CQ7" i="18"/>
  <c r="CQ13" i="18"/>
  <c r="CQ14" i="18"/>
  <c r="CQ4" i="18"/>
  <c r="CQ16" i="18"/>
  <c r="CQ17" i="18"/>
  <c r="CQ18" i="18"/>
  <c r="CQ21" i="18"/>
  <c r="CQ23" i="18"/>
  <c r="CQ24" i="18"/>
  <c r="CQ9" i="18"/>
  <c r="CQ12" i="18"/>
  <c r="CQ19" i="18"/>
  <c r="CQ26" i="18"/>
  <c r="CQ10" i="18"/>
  <c r="CQ15" i="18"/>
  <c r="CQ20" i="18"/>
  <c r="CQ27" i="18"/>
  <c r="CQ6" i="18"/>
  <c r="CQ25" i="18"/>
  <c r="CQ22" i="18"/>
  <c r="EB5" i="16"/>
  <c r="GN5" i="16" s="1"/>
  <c r="FY5" i="16"/>
  <c r="KS25" i="15"/>
  <c r="LA25" i="15" s="1"/>
  <c r="MH25" i="15" s="1"/>
  <c r="MN25" i="15" s="1"/>
  <c r="KQ25" i="15"/>
  <c r="KS24" i="15"/>
  <c r="LA24" i="15" s="1"/>
  <c r="MH24" i="15" s="1"/>
  <c r="MN24" i="15" s="1"/>
  <c r="KQ24" i="15"/>
  <c r="KS23" i="15"/>
  <c r="LA23" i="15" s="1"/>
  <c r="MH23" i="15" s="1"/>
  <c r="MN23" i="15" s="1"/>
  <c r="KQ23" i="15"/>
  <c r="KS22" i="15"/>
  <c r="LA22" i="15" s="1"/>
  <c r="MH22" i="15" s="1"/>
  <c r="MN22" i="15" s="1"/>
  <c r="KQ22" i="15"/>
  <c r="KS21" i="15"/>
  <c r="LA21" i="15" s="1"/>
  <c r="MH21" i="15" s="1"/>
  <c r="MN21" i="15" s="1"/>
  <c r="KQ21" i="15"/>
  <c r="KS20" i="15"/>
  <c r="LA20" i="15" s="1"/>
  <c r="MH20" i="15" s="1"/>
  <c r="MN20" i="15" s="1"/>
  <c r="KQ20" i="15"/>
  <c r="KS19" i="15"/>
  <c r="LA19" i="15" s="1"/>
  <c r="MH19" i="15" s="1"/>
  <c r="MN19" i="15" s="1"/>
  <c r="KQ19" i="15"/>
  <c r="KS18" i="15"/>
  <c r="LA18" i="15" s="1"/>
  <c r="MH18" i="15" s="1"/>
  <c r="MN18" i="15" s="1"/>
  <c r="KQ18" i="15"/>
  <c r="KS17" i="15"/>
  <c r="LA17" i="15" s="1"/>
  <c r="MH17" i="15" s="1"/>
  <c r="MN17" i="15" s="1"/>
  <c r="KQ17" i="15"/>
  <c r="KS16" i="15"/>
  <c r="LA16" i="15" s="1"/>
  <c r="MH16" i="15" s="1"/>
  <c r="MN16" i="15" s="1"/>
  <c r="KQ16" i="15"/>
  <c r="KS15" i="15"/>
  <c r="LA15" i="15" s="1"/>
  <c r="MH15" i="15" s="1"/>
  <c r="MN15" i="15" s="1"/>
  <c r="KQ15" i="15"/>
  <c r="KS14" i="15"/>
  <c r="LA14" i="15" s="1"/>
  <c r="MH14" i="15" s="1"/>
  <c r="MN14" i="15" s="1"/>
  <c r="KQ14" i="15"/>
  <c r="KS13" i="15"/>
  <c r="LA13" i="15" s="1"/>
  <c r="MH13" i="15" s="1"/>
  <c r="MN13" i="15" s="1"/>
  <c r="KQ13" i="15"/>
  <c r="KS12" i="15"/>
  <c r="LA12" i="15" s="1"/>
  <c r="MH12" i="15" s="1"/>
  <c r="MN12" i="15" s="1"/>
  <c r="KQ12" i="15"/>
  <c r="KS11" i="15"/>
  <c r="LA11" i="15" s="1"/>
  <c r="MH11" i="15" s="1"/>
  <c r="MN11" i="15" s="1"/>
  <c r="KQ11" i="15"/>
  <c r="KS10" i="15"/>
  <c r="LA10" i="15" s="1"/>
  <c r="MH10" i="15" s="1"/>
  <c r="MN10" i="15" s="1"/>
  <c r="KQ10" i="15"/>
  <c r="KS9" i="15"/>
  <c r="LA9" i="15" s="1"/>
  <c r="MH9" i="15" s="1"/>
  <c r="MN9" i="15" s="1"/>
  <c r="KQ9" i="15"/>
  <c r="KS8" i="15"/>
  <c r="LA8" i="15" s="1"/>
  <c r="MH8" i="15" s="1"/>
  <c r="MN8" i="15" s="1"/>
  <c r="KQ8" i="15"/>
  <c r="KS7" i="15"/>
  <c r="LA7" i="15" s="1"/>
  <c r="MH7" i="15" s="1"/>
  <c r="MN7" i="15" s="1"/>
  <c r="KQ7" i="15"/>
  <c r="MM6" i="15"/>
  <c r="MJ26" i="15"/>
  <c r="MM26" i="15" s="1"/>
  <c r="KI6" i="15"/>
  <c r="MK6" i="15"/>
  <c r="MK26" i="15" s="1"/>
  <c r="D4" i="16"/>
  <c r="AM4" i="16"/>
  <c r="AM6" i="16" s="1"/>
  <c r="LZ27" i="15"/>
  <c r="LJ28" i="15"/>
  <c r="N14" i="15"/>
  <c r="L14" i="15"/>
  <c r="M14" i="15"/>
  <c r="K21" i="15"/>
  <c r="JV27" i="15"/>
  <c r="LY28" i="15"/>
  <c r="JW26" i="15"/>
  <c r="AH19" i="15"/>
  <c r="AH16" i="15"/>
  <c r="O15" i="15"/>
  <c r="R15" i="15" s="1"/>
  <c r="P15" i="15"/>
  <c r="Q15" i="15"/>
  <c r="MZ15" i="15"/>
  <c r="AI19" i="15"/>
  <c r="AI16" i="15"/>
  <c r="L15" i="15"/>
  <c r="M15" i="15"/>
  <c r="O19" i="15"/>
  <c r="R19" i="15" s="1"/>
  <c r="P19" i="15"/>
  <c r="Q19" i="15"/>
  <c r="MZ19" i="15"/>
  <c r="EA25" i="16"/>
  <c r="EA18" i="16"/>
  <c r="EA11" i="16"/>
  <c r="EA24" i="16"/>
  <c r="FY24" i="16" s="1"/>
  <c r="EA23" i="16"/>
  <c r="FY23" i="16" s="1"/>
  <c r="EA17" i="16"/>
  <c r="EA9" i="16"/>
  <c r="EA22" i="16"/>
  <c r="EA15" i="16"/>
  <c r="EA13" i="16"/>
  <c r="EA21" i="16"/>
  <c r="EA19" i="16"/>
  <c r="EA14" i="16"/>
  <c r="EA10" i="16"/>
  <c r="EA7" i="16"/>
  <c r="EA27" i="16"/>
  <c r="FY27" i="16" s="1"/>
  <c r="EA16" i="16"/>
  <c r="EA6" i="16"/>
  <c r="EA20" i="16"/>
  <c r="EA8" i="16"/>
  <c r="FY8" i="16" s="1"/>
  <c r="EA26" i="16"/>
  <c r="EA12" i="16"/>
  <c r="EA4" i="16"/>
  <c r="EB28" i="16"/>
  <c r="L19" i="15"/>
  <c r="M19" i="15"/>
  <c r="DD4" i="16"/>
  <c r="DB4" i="16" s="1"/>
  <c r="DD5" i="16"/>
  <c r="DA5" i="16" s="1"/>
  <c r="DA7" i="16" s="1"/>
  <c r="DL28" i="16" s="1"/>
  <c r="DD6" i="16"/>
  <c r="DC6" i="16" s="1"/>
  <c r="O18" i="15"/>
  <c r="R18" i="15" s="1"/>
  <c r="P18" i="15"/>
  <c r="Q18" i="15"/>
  <c r="MZ18" i="15"/>
  <c r="L18" i="15"/>
  <c r="M18" i="15"/>
  <c r="EJ4" i="16"/>
  <c r="ER28" i="16" s="1"/>
  <c r="EJ6" i="16"/>
  <c r="EV28" i="16" s="1"/>
  <c r="EJ5" i="16"/>
  <c r="ET28" i="16" s="1"/>
  <c r="O20" i="15"/>
  <c r="R20" i="15" s="1"/>
  <c r="P20" i="15"/>
  <c r="Q20" i="15"/>
  <c r="MZ20" i="15"/>
  <c r="L20" i="15"/>
  <c r="M20" i="15"/>
  <c r="K22" i="15"/>
  <c r="M12" i="15"/>
  <c r="L12" i="15"/>
  <c r="BR4" i="16"/>
  <c r="BR18" i="16"/>
  <c r="BR20" i="16"/>
  <c r="BR24" i="16"/>
  <c r="BR26" i="16"/>
  <c r="BR27" i="16"/>
  <c r="BR19" i="16"/>
  <c r="BR21" i="16"/>
  <c r="BR22" i="16"/>
  <c r="BR23" i="16"/>
  <c r="BR5" i="16"/>
  <c r="BR7" i="16"/>
  <c r="BR8" i="16"/>
  <c r="BR9" i="16"/>
  <c r="BR10" i="16"/>
  <c r="BR6" i="16"/>
  <c r="BR12" i="16"/>
  <c r="BR13" i="16"/>
  <c r="BR14" i="16"/>
  <c r="BR15" i="16"/>
  <c r="BR11" i="16"/>
  <c r="BR16" i="16"/>
  <c r="BR17" i="16"/>
  <c r="BR25" i="16"/>
  <c r="I22" i="15"/>
  <c r="J22" i="15"/>
  <c r="G22" i="15"/>
  <c r="CD20" i="15" s="1"/>
  <c r="CE20" i="15" s="1"/>
  <c r="CC20" i="15"/>
  <c r="CF20" i="15" s="1"/>
  <c r="CG20" i="15" s="1"/>
  <c r="CQ6" i="16"/>
  <c r="CR6" i="16"/>
  <c r="GL6" i="16" s="1"/>
  <c r="FW6" i="16"/>
  <c r="FW28" i="16" s="1"/>
  <c r="GL28" i="16" s="1"/>
  <c r="CR28" i="16"/>
  <c r="CQ8" i="16"/>
  <c r="CQ13" i="16"/>
  <c r="CQ20" i="16"/>
  <c r="CQ25" i="16"/>
  <c r="CQ7" i="16"/>
  <c r="CQ5" i="16"/>
  <c r="CQ12" i="16"/>
  <c r="CQ19" i="16"/>
  <c r="CQ22" i="16"/>
  <c r="CQ23" i="16"/>
  <c r="CQ27" i="16"/>
  <c r="CQ11" i="16"/>
  <c r="CQ21" i="16"/>
  <c r="CQ26" i="16"/>
  <c r="CQ9" i="16"/>
  <c r="CQ15" i="16"/>
  <c r="CQ10" i="16"/>
  <c r="CQ14" i="16"/>
  <c r="CQ17" i="16"/>
  <c r="CQ24" i="16"/>
  <c r="CQ18" i="16"/>
  <c r="CQ16" i="16"/>
  <c r="CQ4" i="16"/>
  <c r="LL27" i="13"/>
  <c r="LZ8" i="13"/>
  <c r="DK9" i="14"/>
  <c r="ES9" i="14"/>
  <c r="DK10" i="14"/>
  <c r="ES10" i="14"/>
  <c r="ES13" i="14"/>
  <c r="DK13" i="14"/>
  <c r="DK20" i="14"/>
  <c r="ES20" i="14"/>
  <c r="ES21" i="14"/>
  <c r="DK21" i="14"/>
  <c r="ES6" i="14"/>
  <c r="DK6" i="14"/>
  <c r="DK8" i="14"/>
  <c r="ES8" i="14"/>
  <c r="DK11" i="14"/>
  <c r="ES11" i="14"/>
  <c r="DK12" i="14"/>
  <c r="ES12" i="14"/>
  <c r="DK14" i="14"/>
  <c r="ES14" i="14"/>
  <c r="DK17" i="14"/>
  <c r="ES17" i="14"/>
  <c r="ES24" i="14"/>
  <c r="DK24" i="14"/>
  <c r="DK7" i="14"/>
  <c r="ES7" i="14"/>
  <c r="DK15" i="14"/>
  <c r="ES15" i="14"/>
  <c r="DK16" i="14"/>
  <c r="ES16" i="14"/>
  <c r="DK18" i="14"/>
  <c r="ES18" i="14"/>
  <c r="ES19" i="14"/>
  <c r="DK19" i="14"/>
  <c r="DK23" i="14"/>
  <c r="ES23" i="14"/>
  <c r="DK25" i="14"/>
  <c r="ES25" i="14"/>
  <c r="DK26" i="14"/>
  <c r="ES26" i="14"/>
  <c r="DK27" i="14"/>
  <c r="ES27" i="14"/>
  <c r="DK22" i="14"/>
  <c r="ES22" i="14"/>
  <c r="KS24" i="13"/>
  <c r="LA24" i="13" s="1"/>
  <c r="MH24" i="13" s="1"/>
  <c r="MN24" i="13" s="1"/>
  <c r="KQ24" i="13"/>
  <c r="KS21" i="13"/>
  <c r="LA21" i="13" s="1"/>
  <c r="MH21" i="13" s="1"/>
  <c r="MN21" i="13" s="1"/>
  <c r="KQ21" i="13"/>
  <c r="KS20" i="13"/>
  <c r="LA20" i="13" s="1"/>
  <c r="MH20" i="13" s="1"/>
  <c r="MN20" i="13" s="1"/>
  <c r="KQ20" i="13"/>
  <c r="KS16" i="13"/>
  <c r="LA16" i="13" s="1"/>
  <c r="MH16" i="13" s="1"/>
  <c r="MN16" i="13" s="1"/>
  <c r="KQ16" i="13"/>
  <c r="KS15" i="13"/>
  <c r="LA15" i="13" s="1"/>
  <c r="MH15" i="13" s="1"/>
  <c r="MN15" i="13" s="1"/>
  <c r="KQ15" i="13"/>
  <c r="KS12" i="13"/>
  <c r="LA12" i="13" s="1"/>
  <c r="MH12" i="13" s="1"/>
  <c r="MN12" i="13" s="1"/>
  <c r="KQ12" i="13"/>
  <c r="O16" i="13"/>
  <c r="R16" i="13" s="1"/>
  <c r="P16" i="13"/>
  <c r="Q16" i="13"/>
  <c r="MZ16" i="13"/>
  <c r="BS28" i="14"/>
  <c r="BT28" i="14" s="1"/>
  <c r="BH6" i="14"/>
  <c r="O17" i="13"/>
  <c r="R17" i="13" s="1"/>
  <c r="P17" i="13"/>
  <c r="Q17" i="13"/>
  <c r="MZ17" i="13"/>
  <c r="L12" i="13"/>
  <c r="M12" i="13"/>
  <c r="AI19" i="13"/>
  <c r="AI20" i="13" s="1"/>
  <c r="AI16" i="13"/>
  <c r="M15" i="13"/>
  <c r="L15" i="13"/>
  <c r="L20" i="13"/>
  <c r="M20" i="13"/>
  <c r="JW26" i="13"/>
  <c r="JV27" i="13"/>
  <c r="LY28" i="13"/>
  <c r="AH19" i="13"/>
  <c r="AH20" i="13" s="1"/>
  <c r="AH16" i="13"/>
  <c r="L14" i="13"/>
  <c r="M14" i="13"/>
  <c r="K21" i="13"/>
  <c r="K22" i="13" s="1"/>
  <c r="MM6" i="13"/>
  <c r="MJ26" i="13"/>
  <c r="MM26" i="13" s="1"/>
  <c r="KI6" i="13"/>
  <c r="MK6" i="13"/>
  <c r="LJ28" i="13"/>
  <c r="AM4" i="14"/>
  <c r="AM6" i="14" s="1"/>
  <c r="D4" i="14"/>
  <c r="N14" i="13"/>
  <c r="AH21" i="13"/>
  <c r="L19" i="13"/>
  <c r="M19" i="13"/>
  <c r="L18" i="13"/>
  <c r="M18" i="13"/>
  <c r="I22" i="13"/>
  <c r="J22" i="13"/>
  <c r="G22" i="13"/>
  <c r="CD20" i="13" s="1"/>
  <c r="CE20" i="13" s="1"/>
  <c r="CC20" i="13"/>
  <c r="CF20" i="13" s="1"/>
  <c r="CG20" i="13" s="1"/>
  <c r="CQ5" i="14"/>
  <c r="CR5" i="14"/>
  <c r="GL5" i="14" s="1"/>
  <c r="FW5" i="14"/>
  <c r="FW28" i="14" s="1"/>
  <c r="GL28" i="14" s="1"/>
  <c r="LZ24" i="13"/>
  <c r="LZ26" i="13"/>
  <c r="LZ19" i="13"/>
  <c r="LZ12" i="13"/>
  <c r="LZ23" i="13"/>
  <c r="LZ11" i="13"/>
  <c r="LZ20" i="13"/>
  <c r="LX27" i="13"/>
  <c r="LV27" i="13"/>
  <c r="LZ27" i="13" s="1"/>
  <c r="LT27" i="13"/>
  <c r="LT28" i="13" s="1"/>
  <c r="LR27" i="13"/>
  <c r="LZ9" i="13"/>
  <c r="LZ10" i="13"/>
  <c r="LZ14" i="13"/>
  <c r="LZ15" i="13"/>
  <c r="LZ18" i="13"/>
  <c r="CR28" i="14"/>
  <c r="CQ4" i="14"/>
  <c r="LV11" i="5"/>
  <c r="LL11" i="5"/>
  <c r="LT11" i="5"/>
  <c r="LX11" i="5"/>
  <c r="LR11" i="5"/>
  <c r="LR16" i="5"/>
  <c r="LT16" i="5"/>
  <c r="LL16" i="5"/>
  <c r="LV16" i="5"/>
  <c r="LX16" i="5"/>
  <c r="LL19" i="5"/>
  <c r="LV19" i="5"/>
  <c r="LX19" i="5"/>
  <c r="LR19" i="5"/>
  <c r="LT19" i="5"/>
  <c r="LX9" i="5"/>
  <c r="LL9" i="5"/>
  <c r="LT9" i="5"/>
  <c r="LR9" i="5"/>
  <c r="LV9" i="5"/>
  <c r="LT18" i="5"/>
  <c r="LV18" i="5"/>
  <c r="LL18" i="5"/>
  <c r="LX18" i="5"/>
  <c r="LR18" i="5"/>
  <c r="LV24" i="5"/>
  <c r="LX24" i="5"/>
  <c r="LT24" i="5"/>
  <c r="LR24" i="5"/>
  <c r="LL24" i="5"/>
  <c r="LX25" i="5"/>
  <c r="LR25" i="5"/>
  <c r="LT25" i="5"/>
  <c r="LL25" i="5"/>
  <c r="LV25" i="5"/>
  <c r="LJ27" i="5"/>
  <c r="LZ7" i="5"/>
  <c r="LL10" i="5"/>
  <c r="LR10" i="5"/>
  <c r="LX10" i="5"/>
  <c r="LV10" i="5"/>
  <c r="LT10" i="5"/>
  <c r="LR22" i="5"/>
  <c r="LV22" i="5"/>
  <c r="LT22" i="5"/>
  <c r="LL22" i="5"/>
  <c r="LX22" i="5"/>
  <c r="LT15" i="5"/>
  <c r="LX15" i="5"/>
  <c r="LV15" i="5"/>
  <c r="LL15" i="5"/>
  <c r="LR15" i="5"/>
  <c r="LL26" i="5"/>
  <c r="LR26" i="5"/>
  <c r="LX26" i="5"/>
  <c r="LV26" i="5"/>
  <c r="LT26" i="5"/>
  <c r="LL12" i="5"/>
  <c r="LR12" i="5"/>
  <c r="LT12" i="5"/>
  <c r="LX12" i="5"/>
  <c r="LV12" i="5"/>
  <c r="LT21" i="5"/>
  <c r="LL21" i="5"/>
  <c r="LR21" i="5"/>
  <c r="LX21" i="5"/>
  <c r="LV21" i="5"/>
  <c r="LV8" i="5"/>
  <c r="LT8" i="5"/>
  <c r="LR8" i="5"/>
  <c r="LL8" i="5"/>
  <c r="LX8" i="5"/>
  <c r="LX13" i="5"/>
  <c r="LL13" i="5"/>
  <c r="LR13" i="5"/>
  <c r="LV13" i="5"/>
  <c r="LT13" i="5"/>
  <c r="LL20" i="5"/>
  <c r="LV20" i="5"/>
  <c r="LX20" i="5"/>
  <c r="LT20" i="5"/>
  <c r="LR20" i="5"/>
  <c r="LV14" i="5"/>
  <c r="LL14" i="5"/>
  <c r="LX14" i="5"/>
  <c r="LR14" i="5"/>
  <c r="LT14" i="5"/>
  <c r="LX17" i="5"/>
  <c r="LR17" i="5"/>
  <c r="LV17" i="5"/>
  <c r="LL17" i="5"/>
  <c r="LT17" i="5"/>
  <c r="LX23" i="5"/>
  <c r="LR23" i="5"/>
  <c r="LL23" i="5"/>
  <c r="LT23" i="5"/>
  <c r="LV23" i="5"/>
  <c r="CQ23" i="8"/>
  <c r="CQ10" i="8"/>
  <c r="CQ19" i="8"/>
  <c r="CQ14" i="8"/>
  <c r="CQ16" i="8"/>
  <c r="CQ15" i="8"/>
  <c r="ES15" i="8" s="1"/>
  <c r="CQ13" i="8"/>
  <c r="CQ11" i="8"/>
  <c r="CQ20" i="8"/>
  <c r="CQ17" i="8"/>
  <c r="CQ9" i="8"/>
  <c r="CQ8" i="8"/>
  <c r="CQ6" i="8"/>
  <c r="CQ7" i="8"/>
  <c r="CQ22" i="8"/>
  <c r="CQ21" i="8"/>
  <c r="CQ18" i="8"/>
  <c r="CQ12" i="8"/>
  <c r="DK7" i="8"/>
  <c r="ES7" i="8"/>
  <c r="DK6" i="8"/>
  <c r="ES6" i="8"/>
  <c r="DK8" i="8"/>
  <c r="ES8" i="8"/>
  <c r="ES9" i="8"/>
  <c r="DK9" i="8"/>
  <c r="ES10" i="8"/>
  <c r="DK10" i="8"/>
  <c r="ES11" i="8"/>
  <c r="DK11" i="8"/>
  <c r="ES12" i="8"/>
  <c r="DK12" i="8"/>
  <c r="DK13" i="8"/>
  <c r="ES13" i="8"/>
  <c r="DK14" i="8"/>
  <c r="ES14" i="8"/>
  <c r="DK15" i="8"/>
  <c r="FW5" i="8"/>
  <c r="FW28" i="8" s="1"/>
  <c r="GL28" i="8" s="1"/>
  <c r="CR5" i="8"/>
  <c r="GL5" i="8" s="1"/>
  <c r="CQ5" i="8"/>
  <c r="CR28" i="8"/>
  <c r="CQ24" i="8"/>
  <c r="CQ25" i="8"/>
  <c r="CQ26" i="8"/>
  <c r="CQ27" i="8"/>
  <c r="CQ4" i="8"/>
  <c r="IX28" i="8"/>
  <c r="IW28" i="8"/>
  <c r="CQ4" i="20" l="1"/>
  <c r="CR28" i="20"/>
  <c r="ES5" i="20"/>
  <c r="ET5" i="20" s="1"/>
  <c r="DK5" i="20"/>
  <c r="DL5" i="20" s="1"/>
  <c r="I22" i="19"/>
  <c r="J22" i="19"/>
  <c r="G22" i="19"/>
  <c r="CD20" i="19" s="1"/>
  <c r="CE20" i="19" s="1"/>
  <c r="CC20" i="19"/>
  <c r="CF20" i="19" s="1"/>
  <c r="CG20" i="19" s="1"/>
  <c r="Z14" i="19"/>
  <c r="Y14" i="19"/>
  <c r="X14" i="19"/>
  <c r="KS6" i="19"/>
  <c r="KQ6" i="19"/>
  <c r="LZ28" i="19"/>
  <c r="KI26" i="19"/>
  <c r="KQ26" i="19" s="1"/>
  <c r="AX24" i="20"/>
  <c r="AY24" i="20" s="1"/>
  <c r="AX23" i="20"/>
  <c r="AY23" i="20" s="1"/>
  <c r="AX25" i="20"/>
  <c r="AY25" i="20" s="1"/>
  <c r="AX4" i="20"/>
  <c r="AX5" i="20"/>
  <c r="AY5" i="20" s="1"/>
  <c r="AX6" i="20"/>
  <c r="AY6" i="20" s="1"/>
  <c r="AX7" i="20"/>
  <c r="AY7" i="20" s="1"/>
  <c r="AX8" i="20"/>
  <c r="AY8" i="20" s="1"/>
  <c r="AX9" i="20"/>
  <c r="AY9" i="20" s="1"/>
  <c r="AX10" i="20"/>
  <c r="AY10" i="20" s="1"/>
  <c r="AX11" i="20"/>
  <c r="AY11" i="20" s="1"/>
  <c r="AX12" i="20"/>
  <c r="AY12" i="20" s="1"/>
  <c r="AX13" i="20"/>
  <c r="AY13" i="20" s="1"/>
  <c r="AX15" i="20"/>
  <c r="AY15" i="20" s="1"/>
  <c r="AX16" i="20"/>
  <c r="AY16" i="20" s="1"/>
  <c r="AX17" i="20"/>
  <c r="AY17" i="20" s="1"/>
  <c r="AX18" i="20"/>
  <c r="AY18" i="20" s="1"/>
  <c r="AX19" i="20"/>
  <c r="AY19" i="20" s="1"/>
  <c r="AX20" i="20"/>
  <c r="AY20" i="20" s="1"/>
  <c r="AX21" i="20"/>
  <c r="AY21" i="20" s="1"/>
  <c r="AX26" i="20"/>
  <c r="AY26" i="20" s="1"/>
  <c r="AX27" i="20"/>
  <c r="AY27" i="20" s="1"/>
  <c r="AX14" i="20"/>
  <c r="AY14" i="20" s="1"/>
  <c r="AX22" i="20"/>
  <c r="AY22" i="20" s="1"/>
  <c r="O14" i="19"/>
  <c r="R14" i="19" s="1"/>
  <c r="P14" i="19"/>
  <c r="Q14" i="19"/>
  <c r="MZ14" i="19"/>
  <c r="N21" i="19"/>
  <c r="L21" i="19"/>
  <c r="M21" i="19"/>
  <c r="NA15" i="19"/>
  <c r="NC15" i="19"/>
  <c r="ND15" i="19" s="1"/>
  <c r="NK15" i="19"/>
  <c r="NL15" i="19" s="1"/>
  <c r="NM15" i="19" s="1"/>
  <c r="AI21" i="19"/>
  <c r="AI20" i="19"/>
  <c r="EB12" i="20"/>
  <c r="GN12" i="20" s="1"/>
  <c r="FY12" i="20"/>
  <c r="EB14" i="20"/>
  <c r="GN14" i="20" s="1"/>
  <c r="FY14" i="20"/>
  <c r="FY17" i="20"/>
  <c r="EB17" i="20"/>
  <c r="GN17" i="20" s="1"/>
  <c r="EB9" i="20"/>
  <c r="GN9" i="20" s="1"/>
  <c r="FY9" i="20"/>
  <c r="FY15" i="20"/>
  <c r="EB15" i="20"/>
  <c r="GN15" i="20" s="1"/>
  <c r="EB11" i="20"/>
  <c r="GN11" i="20" s="1"/>
  <c r="FY11" i="20"/>
  <c r="FY7" i="20"/>
  <c r="EB7" i="20"/>
  <c r="GN7" i="20" s="1"/>
  <c r="EB26" i="20"/>
  <c r="GN26" i="20" s="1"/>
  <c r="FY26" i="20"/>
  <c r="FY22" i="20"/>
  <c r="EB22" i="20"/>
  <c r="GN22" i="20" s="1"/>
  <c r="FY21" i="20"/>
  <c r="EB21" i="20"/>
  <c r="GN21" i="20" s="1"/>
  <c r="EB13" i="20"/>
  <c r="GN13" i="20" s="1"/>
  <c r="FY13" i="20"/>
  <c r="EB19" i="20"/>
  <c r="GN19" i="20" s="1"/>
  <c r="FY19" i="20"/>
  <c r="FY16" i="20"/>
  <c r="EB16" i="20"/>
  <c r="GN16" i="20" s="1"/>
  <c r="FY18" i="20"/>
  <c r="EB18" i="20"/>
  <c r="GN18" i="20" s="1"/>
  <c r="EB10" i="20"/>
  <c r="GN10" i="20" s="1"/>
  <c r="FY10" i="20"/>
  <c r="FY25" i="20"/>
  <c r="EB25" i="20"/>
  <c r="GN25" i="20" s="1"/>
  <c r="EB20" i="20"/>
  <c r="GN20" i="20" s="1"/>
  <c r="FY20" i="20"/>
  <c r="FY6" i="20"/>
  <c r="EB6" i="20"/>
  <c r="GN6" i="20" s="1"/>
  <c r="EB4" i="20"/>
  <c r="GN4" i="20" s="1"/>
  <c r="FY4" i="20"/>
  <c r="NA19" i="19"/>
  <c r="NC19" i="19"/>
  <c r="ND19" i="19" s="1"/>
  <c r="NK19" i="19"/>
  <c r="NL19" i="19" s="1"/>
  <c r="NM19" i="19" s="1"/>
  <c r="DC4" i="20"/>
  <c r="DC7" i="20" s="1"/>
  <c r="DP28" i="20" s="1"/>
  <c r="DB7" i="20"/>
  <c r="DN28" i="20" s="1"/>
  <c r="NA18" i="19"/>
  <c r="NC18" i="19"/>
  <c r="ND18" i="19" s="1"/>
  <c r="NK18" i="19"/>
  <c r="NL18" i="19" s="1"/>
  <c r="NM18" i="19" s="1"/>
  <c r="EV4" i="20"/>
  <c r="EV8" i="20"/>
  <c r="EV17" i="20"/>
  <c r="EV21" i="20"/>
  <c r="EV23" i="20"/>
  <c r="EV24" i="20"/>
  <c r="EV14" i="20"/>
  <c r="EV22" i="20"/>
  <c r="EV25" i="20"/>
  <c r="EV18" i="20"/>
  <c r="EV6" i="20"/>
  <c r="EV7" i="20"/>
  <c r="EV9" i="20"/>
  <c r="EV10" i="20"/>
  <c r="EV11" i="20"/>
  <c r="EV12" i="20"/>
  <c r="EV13" i="20"/>
  <c r="EV15" i="20"/>
  <c r="EV19" i="20"/>
  <c r="EV20" i="20"/>
  <c r="EV5" i="20"/>
  <c r="EV16" i="20"/>
  <c r="EV26" i="20"/>
  <c r="EV27" i="20"/>
  <c r="NA20" i="19"/>
  <c r="NC20" i="19"/>
  <c r="ND20" i="19" s="1"/>
  <c r="NK20" i="19"/>
  <c r="NL20" i="19" s="1"/>
  <c r="NM20" i="19" s="1"/>
  <c r="M22" i="19"/>
  <c r="L22" i="19"/>
  <c r="DK24" i="20"/>
  <c r="DL24" i="20" s="1"/>
  <c r="ES24" i="20"/>
  <c r="ET24" i="20" s="1"/>
  <c r="ES7" i="20"/>
  <c r="ET7" i="20" s="1"/>
  <c r="DK7" i="20"/>
  <c r="DL7" i="20" s="1"/>
  <c r="DK14" i="20"/>
  <c r="DL14" i="20" s="1"/>
  <c r="ES14" i="20"/>
  <c r="ET14" i="20" s="1"/>
  <c r="ES18" i="20"/>
  <c r="ET18" i="20" s="1"/>
  <c r="DK18" i="20"/>
  <c r="DL18" i="20" s="1"/>
  <c r="ES15" i="20"/>
  <c r="ET15" i="20" s="1"/>
  <c r="DK15" i="20"/>
  <c r="DL15" i="20" s="1"/>
  <c r="ES16" i="20"/>
  <c r="ET16" i="20" s="1"/>
  <c r="DK16" i="20"/>
  <c r="DL16" i="20" s="1"/>
  <c r="DK9" i="20"/>
  <c r="DL9" i="20" s="1"/>
  <c r="ES9" i="20"/>
  <c r="ET9" i="20" s="1"/>
  <c r="DK12" i="20"/>
  <c r="DL12" i="20" s="1"/>
  <c r="ES12" i="20"/>
  <c r="ET12" i="20" s="1"/>
  <c r="DK10" i="20"/>
  <c r="DL10" i="20" s="1"/>
  <c r="ES10" i="20"/>
  <c r="ET10" i="20" s="1"/>
  <c r="DK27" i="20"/>
  <c r="DL27" i="20" s="1"/>
  <c r="ES27" i="20"/>
  <c r="ET27" i="20" s="1"/>
  <c r="DK11" i="20"/>
  <c r="DL11" i="20" s="1"/>
  <c r="ES11" i="20"/>
  <c r="ET11" i="20" s="1"/>
  <c r="ES6" i="20"/>
  <c r="ET6" i="20" s="1"/>
  <c r="DK6" i="20"/>
  <c r="DL6" i="20" s="1"/>
  <c r="DK19" i="20"/>
  <c r="DL19" i="20" s="1"/>
  <c r="ES19" i="20"/>
  <c r="ET19" i="20" s="1"/>
  <c r="DK13" i="20"/>
  <c r="DL13" i="20" s="1"/>
  <c r="ES13" i="20"/>
  <c r="ET13" i="20" s="1"/>
  <c r="DK22" i="20"/>
  <c r="DL22" i="20" s="1"/>
  <c r="ES22" i="20"/>
  <c r="ET22" i="20" s="1"/>
  <c r="ES8" i="20"/>
  <c r="ET8" i="20" s="1"/>
  <c r="DK8" i="20"/>
  <c r="DL8" i="20" s="1"/>
  <c r="ES25" i="20"/>
  <c r="ET25" i="20" s="1"/>
  <c r="DK25" i="20"/>
  <c r="DL25" i="20" s="1"/>
  <c r="DK23" i="20"/>
  <c r="DL23" i="20" s="1"/>
  <c r="ES23" i="20"/>
  <c r="ET23" i="20" s="1"/>
  <c r="DK20" i="20"/>
  <c r="DL20" i="20" s="1"/>
  <c r="ES20" i="20"/>
  <c r="ET20" i="20" s="1"/>
  <c r="ES21" i="20"/>
  <c r="ET21" i="20" s="1"/>
  <c r="DK21" i="20"/>
  <c r="DL21" i="20" s="1"/>
  <c r="DK26" i="20"/>
  <c r="DL26" i="20" s="1"/>
  <c r="ES26" i="20"/>
  <c r="ET26" i="20" s="1"/>
  <c r="DK17" i="20"/>
  <c r="DL17" i="20" s="1"/>
  <c r="ES17" i="20"/>
  <c r="ET17" i="20" s="1"/>
  <c r="FW28" i="20"/>
  <c r="GL28" i="20" s="1"/>
  <c r="AH20" i="19"/>
  <c r="AH21" i="19"/>
  <c r="NA16" i="17"/>
  <c r="NC16" i="17"/>
  <c r="ND16" i="17" s="1"/>
  <c r="NK16" i="17"/>
  <c r="NL16" i="17" s="1"/>
  <c r="NM16" i="17" s="1"/>
  <c r="BH4" i="18"/>
  <c r="BP28" i="18" s="1"/>
  <c r="BH5" i="18"/>
  <c r="BR28" i="18" s="1"/>
  <c r="NA17" i="17"/>
  <c r="NC17" i="17"/>
  <c r="ND17" i="17" s="1"/>
  <c r="NK17" i="17"/>
  <c r="NL17" i="17" s="1"/>
  <c r="NM17" i="17" s="1"/>
  <c r="L22" i="17"/>
  <c r="M22" i="17"/>
  <c r="Z14" i="17"/>
  <c r="Y14" i="17"/>
  <c r="X14" i="17"/>
  <c r="KS6" i="17"/>
  <c r="KQ6" i="17"/>
  <c r="LZ28" i="17"/>
  <c r="KI26" i="17"/>
  <c r="KQ26" i="17" s="1"/>
  <c r="AX21" i="18"/>
  <c r="AY21" i="18" s="1"/>
  <c r="AX23" i="18"/>
  <c r="AY23" i="18" s="1"/>
  <c r="AX5" i="18"/>
  <c r="AY5" i="18" s="1"/>
  <c r="AX4" i="18"/>
  <c r="AX8" i="18"/>
  <c r="AY8" i="18" s="1"/>
  <c r="AX9" i="18"/>
  <c r="AY9" i="18" s="1"/>
  <c r="AX10" i="18"/>
  <c r="AY10" i="18" s="1"/>
  <c r="AX11" i="18"/>
  <c r="AY11" i="18" s="1"/>
  <c r="AX12" i="18"/>
  <c r="AY12" i="18" s="1"/>
  <c r="AX13" i="18"/>
  <c r="AY13" i="18" s="1"/>
  <c r="AX14" i="18"/>
  <c r="AY14" i="18" s="1"/>
  <c r="AX15" i="18"/>
  <c r="AY15" i="18" s="1"/>
  <c r="AX16" i="18"/>
  <c r="AY16" i="18" s="1"/>
  <c r="AX17" i="18"/>
  <c r="AY17" i="18" s="1"/>
  <c r="AX18" i="18"/>
  <c r="AY18" i="18" s="1"/>
  <c r="AX19" i="18"/>
  <c r="AY19" i="18" s="1"/>
  <c r="AX20" i="18"/>
  <c r="AY20" i="18" s="1"/>
  <c r="AX7" i="18"/>
  <c r="AY7" i="18" s="1"/>
  <c r="AX24" i="18"/>
  <c r="AY24" i="18" s="1"/>
  <c r="AX26" i="18"/>
  <c r="AY26" i="18" s="1"/>
  <c r="AX6" i="18"/>
  <c r="AY6" i="18" s="1"/>
  <c r="AX22" i="18"/>
  <c r="AY22" i="18" s="1"/>
  <c r="AX25" i="18"/>
  <c r="AY25" i="18" s="1"/>
  <c r="AX27" i="18"/>
  <c r="AY27" i="18" s="1"/>
  <c r="O14" i="17"/>
  <c r="R14" i="17" s="1"/>
  <c r="P14" i="17"/>
  <c r="Q14" i="17"/>
  <c r="MZ14" i="17"/>
  <c r="N21" i="17"/>
  <c r="L21" i="17"/>
  <c r="M21" i="17"/>
  <c r="NA15" i="17"/>
  <c r="NC15" i="17"/>
  <c r="ND15" i="17" s="1"/>
  <c r="NK15" i="17"/>
  <c r="NL15" i="17" s="1"/>
  <c r="NM15" i="17" s="1"/>
  <c r="AI21" i="17"/>
  <c r="AI20" i="17"/>
  <c r="EB25" i="18"/>
  <c r="GN25" i="18" s="1"/>
  <c r="FY25" i="18"/>
  <c r="EB11" i="18"/>
  <c r="GN11" i="18" s="1"/>
  <c r="FY11" i="18"/>
  <c r="EB16" i="18"/>
  <c r="GN16" i="18" s="1"/>
  <c r="FY16" i="18"/>
  <c r="FY6" i="18"/>
  <c r="EB6" i="18"/>
  <c r="GN6" i="18" s="1"/>
  <c r="EB17" i="18"/>
  <c r="GN17" i="18" s="1"/>
  <c r="FY17" i="18"/>
  <c r="EB12" i="18"/>
  <c r="GN12" i="18" s="1"/>
  <c r="FY12" i="18"/>
  <c r="FY5" i="18"/>
  <c r="EB5" i="18"/>
  <c r="GN5" i="18" s="1"/>
  <c r="FY20" i="18"/>
  <c r="EB20" i="18"/>
  <c r="GN20" i="18" s="1"/>
  <c r="EB14" i="18"/>
  <c r="GN14" i="18" s="1"/>
  <c r="FY14" i="18"/>
  <c r="FY7" i="18"/>
  <c r="EB7" i="18"/>
  <c r="GN7" i="18" s="1"/>
  <c r="FY21" i="18"/>
  <c r="EB21" i="18"/>
  <c r="GN21" i="18" s="1"/>
  <c r="EB10" i="18"/>
  <c r="GN10" i="18" s="1"/>
  <c r="FY10" i="18"/>
  <c r="EB9" i="18"/>
  <c r="GN9" i="18" s="1"/>
  <c r="FY9" i="18"/>
  <c r="EB15" i="18"/>
  <c r="GN15" i="18" s="1"/>
  <c r="FY15" i="18"/>
  <c r="EB13" i="18"/>
  <c r="GN13" i="18" s="1"/>
  <c r="FY13" i="18"/>
  <c r="FY22" i="18"/>
  <c r="EB22" i="18"/>
  <c r="GN22" i="18" s="1"/>
  <c r="EB4" i="18"/>
  <c r="GN4" i="18" s="1"/>
  <c r="FY4" i="18"/>
  <c r="FY26" i="18"/>
  <c r="EB26" i="18"/>
  <c r="GN26" i="18" s="1"/>
  <c r="EB18" i="18"/>
  <c r="GN18" i="18" s="1"/>
  <c r="FY18" i="18"/>
  <c r="EB19" i="18"/>
  <c r="GN19" i="18" s="1"/>
  <c r="FY19" i="18"/>
  <c r="NA19" i="17"/>
  <c r="NC19" i="17"/>
  <c r="ND19" i="17" s="1"/>
  <c r="NK19" i="17"/>
  <c r="NL19" i="17" s="1"/>
  <c r="NM19" i="17" s="1"/>
  <c r="DC4" i="18"/>
  <c r="DC7" i="18" s="1"/>
  <c r="DP28" i="18" s="1"/>
  <c r="DB7" i="18"/>
  <c r="DN28" i="18" s="1"/>
  <c r="NA18" i="17"/>
  <c r="NC18" i="17"/>
  <c r="ND18" i="17" s="1"/>
  <c r="NK18" i="17"/>
  <c r="NL18" i="17" s="1"/>
  <c r="NM18" i="17" s="1"/>
  <c r="EV4" i="18"/>
  <c r="EV12" i="18"/>
  <c r="EV19" i="18"/>
  <c r="EV20" i="18"/>
  <c r="EV25" i="18"/>
  <c r="EV26" i="18"/>
  <c r="EV21" i="18"/>
  <c r="EV27" i="18"/>
  <c r="EV5" i="18"/>
  <c r="EV8" i="18"/>
  <c r="EV9" i="18"/>
  <c r="EV10" i="18"/>
  <c r="EV11" i="18"/>
  <c r="EV13" i="18"/>
  <c r="EV6" i="18"/>
  <c r="EV7" i="18"/>
  <c r="EV14" i="18"/>
  <c r="EV15" i="18"/>
  <c r="EV16" i="18"/>
  <c r="EV17" i="18"/>
  <c r="EV18" i="18"/>
  <c r="EV22" i="18"/>
  <c r="EV23" i="18"/>
  <c r="EV24" i="18"/>
  <c r="NA20" i="17"/>
  <c r="NC20" i="17"/>
  <c r="ND20" i="17" s="1"/>
  <c r="NK20" i="17"/>
  <c r="NL20" i="17" s="1"/>
  <c r="NM20" i="17" s="1"/>
  <c r="I22" i="17"/>
  <c r="J22" i="17"/>
  <c r="G22" i="17"/>
  <c r="CD20" i="17" s="1"/>
  <c r="CE20" i="17" s="1"/>
  <c r="CC20" i="17"/>
  <c r="CF20" i="17" s="1"/>
  <c r="CG20" i="17" s="1"/>
  <c r="ES8" i="18"/>
  <c r="ET8" i="18" s="1"/>
  <c r="DK8" i="18"/>
  <c r="DL8" i="18" s="1"/>
  <c r="ES11" i="18"/>
  <c r="ET11" i="18" s="1"/>
  <c r="DK11" i="18"/>
  <c r="DL11" i="18" s="1"/>
  <c r="ES5" i="18"/>
  <c r="ET5" i="18" s="1"/>
  <c r="DK5" i="18"/>
  <c r="DL5" i="18" s="1"/>
  <c r="ES7" i="18"/>
  <c r="ET7" i="18" s="1"/>
  <c r="DK7" i="18"/>
  <c r="DL7" i="18" s="1"/>
  <c r="DK13" i="18"/>
  <c r="DL13" i="18" s="1"/>
  <c r="ES13" i="18"/>
  <c r="ET13" i="18" s="1"/>
  <c r="ES14" i="18"/>
  <c r="ET14" i="18" s="1"/>
  <c r="DK14" i="18"/>
  <c r="DL14" i="18" s="1"/>
  <c r="CQ28" i="18"/>
  <c r="DK4" i="18"/>
  <c r="ES4" i="18"/>
  <c r="ES16" i="18"/>
  <c r="ET16" i="18" s="1"/>
  <c r="DK16" i="18"/>
  <c r="DL16" i="18" s="1"/>
  <c r="ES17" i="18"/>
  <c r="ET17" i="18" s="1"/>
  <c r="DK17" i="18"/>
  <c r="DL17" i="18" s="1"/>
  <c r="ES18" i="18"/>
  <c r="ET18" i="18" s="1"/>
  <c r="DK18" i="18"/>
  <c r="DL18" i="18" s="1"/>
  <c r="ES21" i="18"/>
  <c r="ET21" i="18" s="1"/>
  <c r="DK21" i="18"/>
  <c r="DL21" i="18" s="1"/>
  <c r="ES23" i="18"/>
  <c r="ET23" i="18" s="1"/>
  <c r="DK23" i="18"/>
  <c r="DL23" i="18" s="1"/>
  <c r="ES24" i="18"/>
  <c r="ET24" i="18" s="1"/>
  <c r="DK24" i="18"/>
  <c r="DL24" i="18" s="1"/>
  <c r="ES9" i="18"/>
  <c r="ET9" i="18" s="1"/>
  <c r="DK9" i="18"/>
  <c r="DL9" i="18" s="1"/>
  <c r="ES12" i="18"/>
  <c r="ET12" i="18" s="1"/>
  <c r="DK12" i="18"/>
  <c r="DL12" i="18" s="1"/>
  <c r="ES19" i="18"/>
  <c r="ET19" i="18" s="1"/>
  <c r="DK19" i="18"/>
  <c r="DL19" i="18" s="1"/>
  <c r="ES26" i="18"/>
  <c r="ET26" i="18" s="1"/>
  <c r="DK26" i="18"/>
  <c r="DL26" i="18" s="1"/>
  <c r="ES10" i="18"/>
  <c r="ET10" i="18" s="1"/>
  <c r="DK10" i="18"/>
  <c r="DL10" i="18" s="1"/>
  <c r="ES15" i="18"/>
  <c r="ET15" i="18" s="1"/>
  <c r="DK15" i="18"/>
  <c r="DL15" i="18" s="1"/>
  <c r="ES20" i="18"/>
  <c r="ET20" i="18" s="1"/>
  <c r="DK20" i="18"/>
  <c r="DL20" i="18" s="1"/>
  <c r="ES27" i="18"/>
  <c r="ET27" i="18" s="1"/>
  <c r="DK27" i="18"/>
  <c r="DL27" i="18" s="1"/>
  <c r="DK6" i="18"/>
  <c r="DL6" i="18" s="1"/>
  <c r="ES6" i="18"/>
  <c r="ET6" i="18" s="1"/>
  <c r="ES25" i="18"/>
  <c r="ET25" i="18" s="1"/>
  <c r="DK25" i="18"/>
  <c r="DL25" i="18" s="1"/>
  <c r="ES22" i="18"/>
  <c r="ET22" i="18" s="1"/>
  <c r="DK22" i="18"/>
  <c r="DL22" i="18" s="1"/>
  <c r="AH20" i="17"/>
  <c r="AH21" i="17"/>
  <c r="Z14" i="15"/>
  <c r="Y14" i="15"/>
  <c r="X14" i="15"/>
  <c r="KS6" i="15"/>
  <c r="KQ6" i="15"/>
  <c r="AX6" i="16"/>
  <c r="AY6" i="16" s="1"/>
  <c r="AX7" i="16"/>
  <c r="AY7" i="16" s="1"/>
  <c r="AX8" i="16"/>
  <c r="AY8" i="16" s="1"/>
  <c r="AX9" i="16"/>
  <c r="AY9" i="16" s="1"/>
  <c r="AX10" i="16"/>
  <c r="AY10" i="16" s="1"/>
  <c r="AX11" i="16"/>
  <c r="AY11" i="16" s="1"/>
  <c r="AX12" i="16"/>
  <c r="AY12" i="16" s="1"/>
  <c r="AX13" i="16"/>
  <c r="AY13" i="16" s="1"/>
  <c r="AX14" i="16"/>
  <c r="AY14" i="16" s="1"/>
  <c r="AX15" i="16"/>
  <c r="AY15" i="16" s="1"/>
  <c r="AX16" i="16"/>
  <c r="AY16" i="16" s="1"/>
  <c r="AX17" i="16"/>
  <c r="AY17" i="16" s="1"/>
  <c r="AX18" i="16"/>
  <c r="AY18" i="16" s="1"/>
  <c r="AX19" i="16"/>
  <c r="AY19" i="16" s="1"/>
  <c r="AX20" i="16"/>
  <c r="AY20" i="16" s="1"/>
  <c r="AX21" i="16"/>
  <c r="AY21" i="16" s="1"/>
  <c r="AX22" i="16"/>
  <c r="AY22" i="16" s="1"/>
  <c r="AX25" i="16"/>
  <c r="AY25" i="16" s="1"/>
  <c r="AX26" i="16"/>
  <c r="AY26" i="16" s="1"/>
  <c r="AX27" i="16"/>
  <c r="AY27" i="16" s="1"/>
  <c r="AX23" i="16"/>
  <c r="AY23" i="16" s="1"/>
  <c r="AX24" i="16"/>
  <c r="AY24" i="16" s="1"/>
  <c r="AX4" i="16"/>
  <c r="AX5" i="16"/>
  <c r="AY5" i="16" s="1"/>
  <c r="LZ28" i="15"/>
  <c r="KI26" i="15"/>
  <c r="KQ26" i="15" s="1"/>
  <c r="O14" i="15"/>
  <c r="R14" i="15" s="1"/>
  <c r="P14" i="15"/>
  <c r="Q14" i="15"/>
  <c r="MZ14" i="15"/>
  <c r="N21" i="15"/>
  <c r="L21" i="15"/>
  <c r="M21" i="15"/>
  <c r="NA15" i="15"/>
  <c r="NC15" i="15"/>
  <c r="ND15" i="15" s="1"/>
  <c r="NK15" i="15"/>
  <c r="NL15" i="15" s="1"/>
  <c r="NM15" i="15" s="1"/>
  <c r="AI21" i="15"/>
  <c r="AI20" i="15"/>
  <c r="NA19" i="15"/>
  <c r="NC19" i="15"/>
  <c r="ND19" i="15" s="1"/>
  <c r="NK19" i="15"/>
  <c r="NL19" i="15" s="1"/>
  <c r="NM19" i="15" s="1"/>
  <c r="EB25" i="16"/>
  <c r="GN25" i="16" s="1"/>
  <c r="FY25" i="16"/>
  <c r="FY18" i="16"/>
  <c r="EB18" i="16"/>
  <c r="GN18" i="16" s="1"/>
  <c r="EB11" i="16"/>
  <c r="GN11" i="16" s="1"/>
  <c r="FY11" i="16"/>
  <c r="EB17" i="16"/>
  <c r="GN17" i="16" s="1"/>
  <c r="FY17" i="16"/>
  <c r="FY9" i="16"/>
  <c r="EB9" i="16"/>
  <c r="GN9" i="16" s="1"/>
  <c r="EB22" i="16"/>
  <c r="GN22" i="16" s="1"/>
  <c r="FY22" i="16"/>
  <c r="EB15" i="16"/>
  <c r="GN15" i="16" s="1"/>
  <c r="FY15" i="16"/>
  <c r="EB13" i="16"/>
  <c r="GN13" i="16" s="1"/>
  <c r="FY13" i="16"/>
  <c r="EB21" i="16"/>
  <c r="GN21" i="16" s="1"/>
  <c r="FY21" i="16"/>
  <c r="FY19" i="16"/>
  <c r="EB19" i="16"/>
  <c r="GN19" i="16" s="1"/>
  <c r="EB14" i="16"/>
  <c r="GN14" i="16" s="1"/>
  <c r="FY14" i="16"/>
  <c r="EB10" i="16"/>
  <c r="GN10" i="16" s="1"/>
  <c r="FY10" i="16"/>
  <c r="EB7" i="16"/>
  <c r="GN7" i="16" s="1"/>
  <c r="FY7" i="16"/>
  <c r="EB16" i="16"/>
  <c r="GN16" i="16" s="1"/>
  <c r="FY16" i="16"/>
  <c r="EB6" i="16"/>
  <c r="GN6" i="16" s="1"/>
  <c r="FY6" i="16"/>
  <c r="FY20" i="16"/>
  <c r="EB20" i="16"/>
  <c r="GN20" i="16" s="1"/>
  <c r="EB26" i="16"/>
  <c r="GN26" i="16" s="1"/>
  <c r="FY26" i="16"/>
  <c r="EB12" i="16"/>
  <c r="GN12" i="16" s="1"/>
  <c r="FY12" i="16"/>
  <c r="FY4" i="16"/>
  <c r="EB4" i="16"/>
  <c r="GN4" i="16" s="1"/>
  <c r="DC4" i="16"/>
  <c r="DC7" i="16" s="1"/>
  <c r="DP28" i="16" s="1"/>
  <c r="DB7" i="16"/>
  <c r="DN28" i="16" s="1"/>
  <c r="NA18" i="15"/>
  <c r="NC18" i="15"/>
  <c r="ND18" i="15" s="1"/>
  <c r="NK18" i="15"/>
  <c r="NL18" i="15" s="1"/>
  <c r="NM18" i="15" s="1"/>
  <c r="EV4" i="16"/>
  <c r="EV20" i="16"/>
  <c r="EV21" i="16"/>
  <c r="EV25" i="16"/>
  <c r="EV26" i="16"/>
  <c r="EV27" i="16"/>
  <c r="EV18" i="16"/>
  <c r="EV23" i="16"/>
  <c r="EV7" i="16"/>
  <c r="EV8" i="16"/>
  <c r="EV9" i="16"/>
  <c r="EV6" i="16"/>
  <c r="EV11" i="16"/>
  <c r="EV12" i="16"/>
  <c r="EV13" i="16"/>
  <c r="EV14" i="16"/>
  <c r="EV5" i="16"/>
  <c r="EV10" i="16"/>
  <c r="EV15" i="16"/>
  <c r="EV16" i="16"/>
  <c r="EV17" i="16"/>
  <c r="EV19" i="16"/>
  <c r="EV22" i="16"/>
  <c r="EV24" i="16"/>
  <c r="NA20" i="15"/>
  <c r="NC20" i="15"/>
  <c r="ND20" i="15" s="1"/>
  <c r="NK20" i="15"/>
  <c r="NL20" i="15" s="1"/>
  <c r="NM20" i="15" s="1"/>
  <c r="L22" i="15"/>
  <c r="M22" i="15"/>
  <c r="DK6" i="16"/>
  <c r="DL6" i="16" s="1"/>
  <c r="ES6" i="16"/>
  <c r="ET6" i="16" s="1"/>
  <c r="ES8" i="16"/>
  <c r="ET8" i="16" s="1"/>
  <c r="DK8" i="16"/>
  <c r="DL8" i="16" s="1"/>
  <c r="ES13" i="16"/>
  <c r="ET13" i="16" s="1"/>
  <c r="DK13" i="16"/>
  <c r="DL13" i="16" s="1"/>
  <c r="ES20" i="16"/>
  <c r="ET20" i="16" s="1"/>
  <c r="DK20" i="16"/>
  <c r="DL20" i="16" s="1"/>
  <c r="ES25" i="16"/>
  <c r="ET25" i="16" s="1"/>
  <c r="DK25" i="16"/>
  <c r="DL25" i="16" s="1"/>
  <c r="ES7" i="16"/>
  <c r="ET7" i="16" s="1"/>
  <c r="DK7" i="16"/>
  <c r="DL7" i="16" s="1"/>
  <c r="DK5" i="16"/>
  <c r="DL5" i="16" s="1"/>
  <c r="ES5" i="16"/>
  <c r="ET5" i="16" s="1"/>
  <c r="ES12" i="16"/>
  <c r="ET12" i="16" s="1"/>
  <c r="DK12" i="16"/>
  <c r="DL12" i="16" s="1"/>
  <c r="ES19" i="16"/>
  <c r="ET19" i="16" s="1"/>
  <c r="DK19" i="16"/>
  <c r="DL19" i="16" s="1"/>
  <c r="ES22" i="16"/>
  <c r="ET22" i="16" s="1"/>
  <c r="DK22" i="16"/>
  <c r="DL22" i="16" s="1"/>
  <c r="ES23" i="16"/>
  <c r="ET23" i="16" s="1"/>
  <c r="DK23" i="16"/>
  <c r="DL23" i="16" s="1"/>
  <c r="ES27" i="16"/>
  <c r="ET27" i="16" s="1"/>
  <c r="DK27" i="16"/>
  <c r="DL27" i="16" s="1"/>
  <c r="ES11" i="16"/>
  <c r="ET11" i="16" s="1"/>
  <c r="DK11" i="16"/>
  <c r="DL11" i="16" s="1"/>
  <c r="DK21" i="16"/>
  <c r="DL21" i="16" s="1"/>
  <c r="ES21" i="16"/>
  <c r="ET21" i="16" s="1"/>
  <c r="ES26" i="16"/>
  <c r="ET26" i="16" s="1"/>
  <c r="DK26" i="16"/>
  <c r="DL26" i="16" s="1"/>
  <c r="ES9" i="16"/>
  <c r="ET9" i="16" s="1"/>
  <c r="DK9" i="16"/>
  <c r="DL9" i="16" s="1"/>
  <c r="ES15" i="16"/>
  <c r="ET15" i="16" s="1"/>
  <c r="DK15" i="16"/>
  <c r="DL15" i="16" s="1"/>
  <c r="ES10" i="16"/>
  <c r="ET10" i="16" s="1"/>
  <c r="DK10" i="16"/>
  <c r="DL10" i="16" s="1"/>
  <c r="ES14" i="16"/>
  <c r="ET14" i="16" s="1"/>
  <c r="DK14" i="16"/>
  <c r="DL14" i="16" s="1"/>
  <c r="ES17" i="16"/>
  <c r="ET17" i="16" s="1"/>
  <c r="DK17" i="16"/>
  <c r="DL17" i="16" s="1"/>
  <c r="ES24" i="16"/>
  <c r="ET24" i="16" s="1"/>
  <c r="DK24" i="16"/>
  <c r="DL24" i="16" s="1"/>
  <c r="DK18" i="16"/>
  <c r="DL18" i="16" s="1"/>
  <c r="ES18" i="16"/>
  <c r="ET18" i="16" s="1"/>
  <c r="ES16" i="16"/>
  <c r="ET16" i="16" s="1"/>
  <c r="DK16" i="16"/>
  <c r="DL16" i="16" s="1"/>
  <c r="CQ28" i="16"/>
  <c r="ES4" i="16"/>
  <c r="DK4" i="16"/>
  <c r="AH20" i="15"/>
  <c r="AH21" i="15"/>
  <c r="AI21" i="13"/>
  <c r="N15" i="13"/>
  <c r="D5" i="14"/>
  <c r="LL28" i="13"/>
  <c r="MK7" i="13"/>
  <c r="KI7" i="13"/>
  <c r="NA16" i="13"/>
  <c r="NC16" i="13"/>
  <c r="ND16" i="13" s="1"/>
  <c r="NK16" i="13"/>
  <c r="NL16" i="13" s="1"/>
  <c r="NM16" i="13" s="1"/>
  <c r="BH5" i="14"/>
  <c r="BR28" i="14" s="1"/>
  <c r="BH4" i="14"/>
  <c r="BP28" i="14" s="1"/>
  <c r="NA17" i="13"/>
  <c r="NC17" i="13"/>
  <c r="ND17" i="13" s="1"/>
  <c r="NK17" i="13"/>
  <c r="NL17" i="13" s="1"/>
  <c r="NM17" i="13" s="1"/>
  <c r="L22" i="13"/>
  <c r="M22" i="13"/>
  <c r="L21" i="13"/>
  <c r="M21" i="13"/>
  <c r="Y14" i="13"/>
  <c r="Z14" i="13"/>
  <c r="X14" i="13"/>
  <c r="KS6" i="13"/>
  <c r="KQ6" i="13"/>
  <c r="LZ28" i="13"/>
  <c r="KI26" i="13"/>
  <c r="KQ26" i="13" s="1"/>
  <c r="AX8" i="14"/>
  <c r="AY8" i="14" s="1"/>
  <c r="AX9" i="14"/>
  <c r="AY9" i="14" s="1"/>
  <c r="AX10" i="14"/>
  <c r="AY10" i="14" s="1"/>
  <c r="AX11" i="14"/>
  <c r="AY11" i="14" s="1"/>
  <c r="AX12" i="14"/>
  <c r="AY12" i="14" s="1"/>
  <c r="AX13" i="14"/>
  <c r="AY13" i="14" s="1"/>
  <c r="AX5" i="14"/>
  <c r="AY5" i="14" s="1"/>
  <c r="AX14" i="14"/>
  <c r="AY14" i="14" s="1"/>
  <c r="AX15" i="14"/>
  <c r="AY15" i="14" s="1"/>
  <c r="AX16" i="14"/>
  <c r="AY16" i="14" s="1"/>
  <c r="AX17" i="14"/>
  <c r="AY17" i="14" s="1"/>
  <c r="AX18" i="14"/>
  <c r="AY18" i="14" s="1"/>
  <c r="AX6" i="14"/>
  <c r="AY6" i="14" s="1"/>
  <c r="AX7" i="14"/>
  <c r="AY7" i="14" s="1"/>
  <c r="AX19" i="14"/>
  <c r="AY19" i="14" s="1"/>
  <c r="AX20" i="14"/>
  <c r="AY20" i="14" s="1"/>
  <c r="AX21" i="14"/>
  <c r="AY21" i="14" s="1"/>
  <c r="AX22" i="14"/>
  <c r="AY22" i="14" s="1"/>
  <c r="AX23" i="14"/>
  <c r="AY23" i="14" s="1"/>
  <c r="AX24" i="14"/>
  <c r="AY24" i="14" s="1"/>
  <c r="AX25" i="14"/>
  <c r="AY25" i="14" s="1"/>
  <c r="AX27" i="14"/>
  <c r="AY27" i="14" s="1"/>
  <c r="AX4" i="14"/>
  <c r="AX26" i="14"/>
  <c r="AY26" i="14" s="1"/>
  <c r="O14" i="13"/>
  <c r="R14" i="13" s="1"/>
  <c r="P14" i="13"/>
  <c r="Q14" i="13"/>
  <c r="MZ14" i="13"/>
  <c r="DK5" i="14"/>
  <c r="ES5" i="14"/>
  <c r="MK23" i="13"/>
  <c r="KI23" i="13"/>
  <c r="MK25" i="13"/>
  <c r="KI25" i="13"/>
  <c r="KI18" i="13"/>
  <c r="MK18" i="13"/>
  <c r="MK11" i="13"/>
  <c r="KI11" i="13"/>
  <c r="MK22" i="13"/>
  <c r="KI22" i="13"/>
  <c r="MK10" i="13"/>
  <c r="KI10" i="13"/>
  <c r="MK19" i="13"/>
  <c r="KI19" i="13"/>
  <c r="LX28" i="13"/>
  <c r="N20" i="13"/>
  <c r="D10" i="14"/>
  <c r="EJ7" i="14" s="1"/>
  <c r="N18" i="13"/>
  <c r="N21" i="13" s="1"/>
  <c r="D8" i="14"/>
  <c r="DD7" i="14" s="1"/>
  <c r="LV28" i="13"/>
  <c r="N19" i="13"/>
  <c r="D9" i="14"/>
  <c r="EA28" i="14" s="1"/>
  <c r="LR28" i="13"/>
  <c r="KI8" i="13"/>
  <c r="MK8" i="13"/>
  <c r="MK9" i="13"/>
  <c r="KI9" i="13"/>
  <c r="MK13" i="13"/>
  <c r="KI13" i="13"/>
  <c r="MK14" i="13"/>
  <c r="KI14" i="13"/>
  <c r="MK17" i="13"/>
  <c r="KI17" i="13"/>
  <c r="CQ28" i="14"/>
  <c r="ES4" i="14"/>
  <c r="DK4" i="14"/>
  <c r="LZ24" i="5"/>
  <c r="DK23" i="8"/>
  <c r="ES23" i="8"/>
  <c r="LZ21" i="5"/>
  <c r="LZ13" i="5"/>
  <c r="LZ17" i="5"/>
  <c r="LZ26" i="5"/>
  <c r="ES19" i="8"/>
  <c r="DK19" i="8"/>
  <c r="DK16" i="8"/>
  <c r="ES16" i="8"/>
  <c r="ES20" i="8"/>
  <c r="DK20" i="8"/>
  <c r="DK17" i="8"/>
  <c r="ES17" i="8"/>
  <c r="DK22" i="8"/>
  <c r="ES22" i="8"/>
  <c r="ES21" i="8"/>
  <c r="DK21" i="8"/>
  <c r="DK18" i="8"/>
  <c r="ES18" i="8"/>
  <c r="D4" i="8"/>
  <c r="AH21" i="5"/>
  <c r="N14" i="5"/>
  <c r="LJ28" i="5"/>
  <c r="KI6" i="5"/>
  <c r="MK6" i="5"/>
  <c r="MK20" i="5"/>
  <c r="KI20" i="5"/>
  <c r="LZ8" i="5"/>
  <c r="LL27" i="5"/>
  <c r="LR27" i="5"/>
  <c r="LZ14" i="5"/>
  <c r="LV27" i="5"/>
  <c r="LX27" i="5"/>
  <c r="LZ11" i="5"/>
  <c r="LZ16" i="5"/>
  <c r="LZ19" i="5"/>
  <c r="LZ9" i="5"/>
  <c r="LZ18" i="5"/>
  <c r="LZ25" i="5"/>
  <c r="LZ10" i="5"/>
  <c r="LZ22" i="5"/>
  <c r="LZ15" i="5"/>
  <c r="LZ12" i="5"/>
  <c r="LT27" i="5"/>
  <c r="LT28" i="5" s="1"/>
  <c r="LZ20" i="5"/>
  <c r="LZ23" i="5"/>
  <c r="DK5" i="8"/>
  <c r="ES5" i="8"/>
  <c r="DK24" i="8"/>
  <c r="ES24" i="8"/>
  <c r="DK25" i="8"/>
  <c r="ES25" i="8"/>
  <c r="ES26" i="8"/>
  <c r="DK26" i="8"/>
  <c r="ES27" i="8"/>
  <c r="DK27" i="8"/>
  <c r="CQ28" i="8"/>
  <c r="DK4" i="8"/>
  <c r="ES4" i="8"/>
  <c r="EB27" i="8"/>
  <c r="GN27" i="8" s="1"/>
  <c r="EB24" i="8"/>
  <c r="GN24" i="8" s="1"/>
  <c r="EB23" i="8"/>
  <c r="GN23" i="8" s="1"/>
  <c r="CQ28" i="20" l="1"/>
  <c r="DK4" i="20"/>
  <c r="ES4" i="20"/>
  <c r="Z15" i="19"/>
  <c r="Z16" i="19"/>
  <c r="Y15" i="19"/>
  <c r="Y16" i="19"/>
  <c r="AA14" i="19"/>
  <c r="X15" i="19"/>
  <c r="X16" i="19"/>
  <c r="KS26" i="19"/>
  <c r="LA6" i="19"/>
  <c r="MH6" i="19" s="1"/>
  <c r="FU24" i="20"/>
  <c r="FU23" i="20"/>
  <c r="FU25" i="20"/>
  <c r="BA25" i="20"/>
  <c r="GJ25" i="20" s="1"/>
  <c r="AY4" i="20"/>
  <c r="AX28" i="20"/>
  <c r="BA5" i="20"/>
  <c r="GJ5" i="20" s="1"/>
  <c r="FU5" i="20"/>
  <c r="BA6" i="20"/>
  <c r="GJ6" i="20" s="1"/>
  <c r="FU6" i="20"/>
  <c r="FU7" i="20"/>
  <c r="BA7" i="20"/>
  <c r="GJ7" i="20" s="1"/>
  <c r="FU8" i="20"/>
  <c r="BA9" i="20"/>
  <c r="GJ9" i="20" s="1"/>
  <c r="FU9" i="20"/>
  <c r="BA10" i="20"/>
  <c r="GJ10" i="20" s="1"/>
  <c r="FU10" i="20"/>
  <c r="FU11" i="20"/>
  <c r="BA11" i="20"/>
  <c r="GJ11" i="20" s="1"/>
  <c r="BA12" i="20"/>
  <c r="GJ12" i="20" s="1"/>
  <c r="FU12" i="20"/>
  <c r="FU13" i="20"/>
  <c r="BA13" i="20"/>
  <c r="GJ13" i="20" s="1"/>
  <c r="BA15" i="20"/>
  <c r="GJ15" i="20" s="1"/>
  <c r="FU15" i="20"/>
  <c r="FU16" i="20"/>
  <c r="BA16" i="20"/>
  <c r="GJ16" i="20" s="1"/>
  <c r="FU17" i="20"/>
  <c r="BA17" i="20"/>
  <c r="GJ17" i="20" s="1"/>
  <c r="BA18" i="20"/>
  <c r="GJ18" i="20" s="1"/>
  <c r="FU18" i="20"/>
  <c r="FU19" i="20"/>
  <c r="BA19" i="20"/>
  <c r="GJ19" i="20" s="1"/>
  <c r="FU20" i="20"/>
  <c r="BA20" i="20"/>
  <c r="GJ20" i="20" s="1"/>
  <c r="FU21" i="20"/>
  <c r="BA21" i="20"/>
  <c r="GJ21" i="20" s="1"/>
  <c r="BA26" i="20"/>
  <c r="GJ26" i="20" s="1"/>
  <c r="FU26" i="20"/>
  <c r="FU27" i="20"/>
  <c r="BA14" i="20"/>
  <c r="GJ14" i="20" s="1"/>
  <c r="FU14" i="20"/>
  <c r="BA22" i="20"/>
  <c r="GJ22" i="20" s="1"/>
  <c r="FU22" i="20"/>
  <c r="NA14" i="19"/>
  <c r="NC14" i="19"/>
  <c r="NK14" i="19"/>
  <c r="NL14" i="19" s="1"/>
  <c r="NM14" i="19" s="1"/>
  <c r="O21" i="19"/>
  <c r="R21" i="19" s="1"/>
  <c r="P21" i="19"/>
  <c r="Q21" i="19"/>
  <c r="MZ21" i="19"/>
  <c r="DP4" i="20"/>
  <c r="DP14" i="20"/>
  <c r="DP17" i="20"/>
  <c r="DP7" i="20"/>
  <c r="DP16" i="20"/>
  <c r="DP21" i="20"/>
  <c r="DP23" i="20"/>
  <c r="DP25" i="20"/>
  <c r="DP5" i="20"/>
  <c r="DP9" i="20"/>
  <c r="DP10" i="20"/>
  <c r="DP11" i="20"/>
  <c r="DP12" i="20"/>
  <c r="DP13" i="20"/>
  <c r="DP6" i="20"/>
  <c r="DP15" i="20"/>
  <c r="DP18" i="20"/>
  <c r="DP19" i="20"/>
  <c r="DP20" i="20"/>
  <c r="DP8" i="20"/>
  <c r="DP22" i="20"/>
  <c r="DP24" i="20"/>
  <c r="DP26" i="20"/>
  <c r="DP27" i="20"/>
  <c r="DN5" i="20"/>
  <c r="DQ5" i="20" s="1"/>
  <c r="DN25" i="20"/>
  <c r="DQ25" i="20" s="1"/>
  <c r="DN16" i="20"/>
  <c r="DQ16" i="20" s="1"/>
  <c r="DN11" i="20"/>
  <c r="DQ11" i="20" s="1"/>
  <c r="DN7" i="20"/>
  <c r="DQ7" i="20" s="1"/>
  <c r="DN6" i="20"/>
  <c r="DQ6" i="20" s="1"/>
  <c r="DN20" i="20"/>
  <c r="DQ20" i="20" s="1"/>
  <c r="DN27" i="20"/>
  <c r="DQ27" i="20" s="1"/>
  <c r="DN23" i="20"/>
  <c r="DQ23" i="20" s="1"/>
  <c r="DN18" i="20"/>
  <c r="DQ18" i="20" s="1"/>
  <c r="DN10" i="20"/>
  <c r="DQ10" i="20" s="1"/>
  <c r="DN22" i="20"/>
  <c r="DQ22" i="20" s="1"/>
  <c r="DN17" i="20"/>
  <c r="DQ17" i="20" s="1"/>
  <c r="DN12" i="20"/>
  <c r="DQ12" i="20" s="1"/>
  <c r="DN15" i="20"/>
  <c r="DQ15" i="20" s="1"/>
  <c r="DN14" i="20"/>
  <c r="DQ14" i="20" s="1"/>
  <c r="DN24" i="20"/>
  <c r="DQ24" i="20" s="1"/>
  <c r="DN26" i="20"/>
  <c r="DQ26" i="20" s="1"/>
  <c r="DN21" i="20"/>
  <c r="DQ21" i="20" s="1"/>
  <c r="DN13" i="20"/>
  <c r="DQ13" i="20" s="1"/>
  <c r="DN19" i="20"/>
  <c r="DQ19" i="20" s="1"/>
  <c r="DN8" i="20"/>
  <c r="DQ8" i="20" s="1"/>
  <c r="DN9" i="20"/>
  <c r="DQ9" i="20" s="1"/>
  <c r="DN4" i="20"/>
  <c r="FX24" i="20"/>
  <c r="FX7" i="20"/>
  <c r="DS7" i="20"/>
  <c r="GM7" i="20" s="1"/>
  <c r="FX14" i="20"/>
  <c r="DS14" i="20"/>
  <c r="GM14" i="20" s="1"/>
  <c r="FX18" i="20"/>
  <c r="DS18" i="20"/>
  <c r="GM18" i="20" s="1"/>
  <c r="FX15" i="20"/>
  <c r="DS15" i="20"/>
  <c r="GM15" i="20" s="1"/>
  <c r="FX16" i="20"/>
  <c r="DS16" i="20"/>
  <c r="GM16" i="20" s="1"/>
  <c r="FX9" i="20"/>
  <c r="DS9" i="20"/>
  <c r="GM9" i="20" s="1"/>
  <c r="FX12" i="20"/>
  <c r="DS12" i="20"/>
  <c r="GM12" i="20" s="1"/>
  <c r="FX10" i="20"/>
  <c r="DS10" i="20"/>
  <c r="GM10" i="20" s="1"/>
  <c r="FX27" i="20"/>
  <c r="FX11" i="20"/>
  <c r="DS11" i="20"/>
  <c r="GM11" i="20" s="1"/>
  <c r="FX6" i="20"/>
  <c r="DS6" i="20"/>
  <c r="GM6" i="20" s="1"/>
  <c r="FX19" i="20"/>
  <c r="DS19" i="20"/>
  <c r="GM19" i="20" s="1"/>
  <c r="FX13" i="20"/>
  <c r="DS13" i="20"/>
  <c r="GM13" i="20" s="1"/>
  <c r="FX22" i="20"/>
  <c r="DS22" i="20"/>
  <c r="GM22" i="20" s="1"/>
  <c r="FX8" i="20"/>
  <c r="FX25" i="20"/>
  <c r="DS25" i="20"/>
  <c r="GM25" i="20" s="1"/>
  <c r="FY28" i="20"/>
  <c r="GN28" i="20" s="1"/>
  <c r="BR4" i="18"/>
  <c r="BR12" i="18"/>
  <c r="BR6" i="18"/>
  <c r="BR25" i="18"/>
  <c r="BR21" i="18"/>
  <c r="BR5" i="18"/>
  <c r="BR7" i="18"/>
  <c r="BR20" i="18"/>
  <c r="BR22" i="18"/>
  <c r="BR26" i="18"/>
  <c r="BR27" i="18"/>
  <c r="BR8" i="18"/>
  <c r="BR9" i="18"/>
  <c r="BR10" i="18"/>
  <c r="BR11" i="18"/>
  <c r="BR13" i="18"/>
  <c r="BR14" i="18"/>
  <c r="BR15" i="18"/>
  <c r="BR16" i="18"/>
  <c r="BR17" i="18"/>
  <c r="BR18" i="18"/>
  <c r="BR19" i="18"/>
  <c r="BR23" i="18"/>
  <c r="BR24" i="18"/>
  <c r="Z15" i="17"/>
  <c r="Z16" i="17"/>
  <c r="Y15" i="17"/>
  <c r="Y16" i="17"/>
  <c r="AA14" i="17"/>
  <c r="X15" i="17"/>
  <c r="X16" i="17"/>
  <c r="KS26" i="17"/>
  <c r="LA6" i="17"/>
  <c r="MH6" i="17" s="1"/>
  <c r="BA21" i="18"/>
  <c r="GJ21" i="18" s="1"/>
  <c r="FU21" i="18"/>
  <c r="FU23" i="18"/>
  <c r="BA5" i="18"/>
  <c r="GJ5" i="18" s="1"/>
  <c r="FU5" i="18"/>
  <c r="AY4" i="18"/>
  <c r="AX28" i="18"/>
  <c r="FU8" i="18"/>
  <c r="BA9" i="18"/>
  <c r="GJ9" i="18" s="1"/>
  <c r="FU9" i="18"/>
  <c r="FU10" i="18"/>
  <c r="BA10" i="18"/>
  <c r="GJ10" i="18" s="1"/>
  <c r="BA11" i="18"/>
  <c r="GJ11" i="18" s="1"/>
  <c r="FU11" i="18"/>
  <c r="FU12" i="18"/>
  <c r="BA12" i="18"/>
  <c r="GJ12" i="18" s="1"/>
  <c r="FU13" i="18"/>
  <c r="BA13" i="18"/>
  <c r="GJ13" i="18" s="1"/>
  <c r="FU14" i="18"/>
  <c r="BA14" i="18"/>
  <c r="GJ14" i="18" s="1"/>
  <c r="FU15" i="18"/>
  <c r="BA15" i="18"/>
  <c r="GJ15" i="18" s="1"/>
  <c r="FU16" i="18"/>
  <c r="BA16" i="18"/>
  <c r="GJ16" i="18" s="1"/>
  <c r="FU17" i="18"/>
  <c r="BA17" i="18"/>
  <c r="GJ17" i="18" s="1"/>
  <c r="FU18" i="18"/>
  <c r="BA18" i="18"/>
  <c r="GJ18" i="18" s="1"/>
  <c r="FU19" i="18"/>
  <c r="BA19" i="18"/>
  <c r="GJ19" i="18" s="1"/>
  <c r="FU20" i="18"/>
  <c r="BA20" i="18"/>
  <c r="GJ20" i="18" s="1"/>
  <c r="BA7" i="18"/>
  <c r="GJ7" i="18" s="1"/>
  <c r="FU7" i="18"/>
  <c r="FU24" i="18"/>
  <c r="FU26" i="18"/>
  <c r="BA26" i="18"/>
  <c r="GJ26" i="18" s="1"/>
  <c r="BA6" i="18"/>
  <c r="GJ6" i="18" s="1"/>
  <c r="FU6" i="18"/>
  <c r="FU22" i="18"/>
  <c r="BA22" i="18"/>
  <c r="GJ22" i="18" s="1"/>
  <c r="FU25" i="18"/>
  <c r="BA25" i="18"/>
  <c r="GJ25" i="18" s="1"/>
  <c r="FU27" i="18"/>
  <c r="NA14" i="17"/>
  <c r="NC14" i="17"/>
  <c r="NK14" i="17"/>
  <c r="NL14" i="17" s="1"/>
  <c r="NM14" i="17" s="1"/>
  <c r="O21" i="17"/>
  <c r="R21" i="17" s="1"/>
  <c r="P21" i="17"/>
  <c r="Q21" i="17"/>
  <c r="MZ21" i="17"/>
  <c r="DP4" i="18"/>
  <c r="DP12" i="18"/>
  <c r="DP6" i="18"/>
  <c r="DP20" i="18"/>
  <c r="DP25" i="18"/>
  <c r="DP27" i="18"/>
  <c r="DP7" i="18"/>
  <c r="DP8" i="18"/>
  <c r="DP19" i="18"/>
  <c r="DP26" i="18"/>
  <c r="DP5" i="18"/>
  <c r="DP9" i="18"/>
  <c r="DP10" i="18"/>
  <c r="DP11" i="18"/>
  <c r="DP13" i="18"/>
  <c r="DP14" i="18"/>
  <c r="DP15" i="18"/>
  <c r="DP16" i="18"/>
  <c r="DP17" i="18"/>
  <c r="DP18" i="18"/>
  <c r="DP21" i="18"/>
  <c r="DP22" i="18"/>
  <c r="DP23" i="18"/>
  <c r="DP24" i="18"/>
  <c r="DN24" i="18"/>
  <c r="DQ24" i="18" s="1"/>
  <c r="DN8" i="18"/>
  <c r="DQ8" i="18" s="1"/>
  <c r="DN19" i="18"/>
  <c r="DQ19" i="18" s="1"/>
  <c r="DN26" i="18"/>
  <c r="DQ26" i="18" s="1"/>
  <c r="DN10" i="18"/>
  <c r="DQ10" i="18" s="1"/>
  <c r="DN11" i="18"/>
  <c r="DQ11" i="18" s="1"/>
  <c r="DN16" i="18"/>
  <c r="DQ16" i="18" s="1"/>
  <c r="DN22" i="18"/>
  <c r="DQ22" i="18" s="1"/>
  <c r="DN5" i="18"/>
  <c r="DQ5" i="18" s="1"/>
  <c r="DN27" i="18"/>
  <c r="DQ27" i="18" s="1"/>
  <c r="DN18" i="18"/>
  <c r="DQ18" i="18" s="1"/>
  <c r="DN4" i="18"/>
  <c r="DN15" i="18"/>
  <c r="DQ15" i="18" s="1"/>
  <c r="DN21" i="18"/>
  <c r="DQ21" i="18" s="1"/>
  <c r="DN12" i="18"/>
  <c r="DQ12" i="18" s="1"/>
  <c r="DN25" i="18"/>
  <c r="DQ25" i="18" s="1"/>
  <c r="DN23" i="18"/>
  <c r="DQ23" i="18" s="1"/>
  <c r="DN6" i="18"/>
  <c r="DQ6" i="18" s="1"/>
  <c r="DN20" i="18"/>
  <c r="DQ20" i="18" s="1"/>
  <c r="DN17" i="18"/>
  <c r="DQ17" i="18" s="1"/>
  <c r="DN14" i="18"/>
  <c r="DQ14" i="18" s="1"/>
  <c r="DN13" i="18"/>
  <c r="DQ13" i="18" s="1"/>
  <c r="DN7" i="18"/>
  <c r="DQ7" i="18" s="1"/>
  <c r="DN9" i="18"/>
  <c r="DQ9" i="18" s="1"/>
  <c r="FX8" i="18"/>
  <c r="FX11" i="18"/>
  <c r="DS11" i="18"/>
  <c r="GM11" i="18" s="1"/>
  <c r="DS5" i="18"/>
  <c r="GM5" i="18" s="1"/>
  <c r="DK28" i="18"/>
  <c r="DL4" i="18"/>
  <c r="ES28" i="18"/>
  <c r="ET4" i="18"/>
  <c r="FX18" i="18"/>
  <c r="DS18" i="18"/>
  <c r="GM18" i="18" s="1"/>
  <c r="FX21" i="18"/>
  <c r="DS21" i="18"/>
  <c r="GM21" i="18" s="1"/>
  <c r="FX23" i="18"/>
  <c r="FX24" i="18"/>
  <c r="FX9" i="18"/>
  <c r="DS9" i="18"/>
  <c r="GM9" i="18" s="1"/>
  <c r="FX12" i="18"/>
  <c r="DS12" i="18"/>
  <c r="GM12" i="18" s="1"/>
  <c r="FX19" i="18"/>
  <c r="DS19" i="18"/>
  <c r="GM19" i="18" s="1"/>
  <c r="FX26" i="18"/>
  <c r="DS26" i="18"/>
  <c r="GM26" i="18" s="1"/>
  <c r="FX10" i="18"/>
  <c r="DS10" i="18"/>
  <c r="GM10" i="18" s="1"/>
  <c r="FX15" i="18"/>
  <c r="DS15" i="18"/>
  <c r="GM15" i="18" s="1"/>
  <c r="FX20" i="18"/>
  <c r="DS20" i="18"/>
  <c r="GM20" i="18" s="1"/>
  <c r="FX27" i="18"/>
  <c r="FX6" i="18"/>
  <c r="DS6" i="18"/>
  <c r="GM6" i="18" s="1"/>
  <c r="FX25" i="18"/>
  <c r="DS25" i="18"/>
  <c r="GM25" i="18" s="1"/>
  <c r="FX22" i="18"/>
  <c r="DS22" i="18"/>
  <c r="GM22" i="18" s="1"/>
  <c r="FY28" i="18"/>
  <c r="GN28" i="18" s="1"/>
  <c r="Z15" i="15"/>
  <c r="Z16" i="15"/>
  <c r="Y15" i="15"/>
  <c r="Y16" i="15"/>
  <c r="AA14" i="15"/>
  <c r="X15" i="15"/>
  <c r="X16" i="15"/>
  <c r="KS26" i="15"/>
  <c r="LA6" i="15"/>
  <c r="MH6" i="15" s="1"/>
  <c r="BA6" i="16"/>
  <c r="GJ6" i="16" s="1"/>
  <c r="FU6" i="16"/>
  <c r="BA7" i="16"/>
  <c r="GJ7" i="16" s="1"/>
  <c r="FU7" i="16"/>
  <c r="FU8" i="16"/>
  <c r="FU9" i="16"/>
  <c r="BA9" i="16"/>
  <c r="GJ9" i="16" s="1"/>
  <c r="BA10" i="16"/>
  <c r="GJ10" i="16" s="1"/>
  <c r="FU10" i="16"/>
  <c r="FU11" i="16"/>
  <c r="BA11" i="16"/>
  <c r="GJ11" i="16" s="1"/>
  <c r="BA12" i="16"/>
  <c r="GJ12" i="16" s="1"/>
  <c r="FU12" i="16"/>
  <c r="FU13" i="16"/>
  <c r="BA13" i="16"/>
  <c r="GJ13" i="16" s="1"/>
  <c r="FU14" i="16"/>
  <c r="BA14" i="16"/>
  <c r="GJ14" i="16" s="1"/>
  <c r="BA15" i="16"/>
  <c r="GJ15" i="16" s="1"/>
  <c r="FU15" i="16"/>
  <c r="FU16" i="16"/>
  <c r="BA16" i="16"/>
  <c r="GJ16" i="16" s="1"/>
  <c r="BA17" i="16"/>
  <c r="GJ17" i="16" s="1"/>
  <c r="FU17" i="16"/>
  <c r="FU18" i="16"/>
  <c r="BA18" i="16"/>
  <c r="GJ18" i="16" s="1"/>
  <c r="FU19" i="16"/>
  <c r="BA19" i="16"/>
  <c r="GJ19" i="16" s="1"/>
  <c r="FU20" i="16"/>
  <c r="BA20" i="16"/>
  <c r="GJ20" i="16" s="1"/>
  <c r="BA21" i="16"/>
  <c r="GJ21" i="16" s="1"/>
  <c r="FU21" i="16"/>
  <c r="BA22" i="16"/>
  <c r="GJ22" i="16" s="1"/>
  <c r="FU22" i="16"/>
  <c r="BA25" i="16"/>
  <c r="GJ25" i="16" s="1"/>
  <c r="FU25" i="16"/>
  <c r="BA26" i="16"/>
  <c r="GJ26" i="16" s="1"/>
  <c r="FU26" i="16"/>
  <c r="FU27" i="16"/>
  <c r="FU23" i="16"/>
  <c r="FU24" i="16"/>
  <c r="AY4" i="16"/>
  <c r="AX28" i="16"/>
  <c r="BA5" i="16"/>
  <c r="GJ5" i="16" s="1"/>
  <c r="FU5" i="16"/>
  <c r="NA14" i="15"/>
  <c r="NC14" i="15"/>
  <c r="NK14" i="15"/>
  <c r="NL14" i="15" s="1"/>
  <c r="NM14" i="15" s="1"/>
  <c r="O21" i="15"/>
  <c r="R21" i="15" s="1"/>
  <c r="P21" i="15"/>
  <c r="Q21" i="15"/>
  <c r="MZ21" i="15"/>
  <c r="DP4" i="16"/>
  <c r="DP19" i="16"/>
  <c r="DP21" i="16"/>
  <c r="DP23" i="16"/>
  <c r="DP26" i="16"/>
  <c r="DP27" i="16"/>
  <c r="DP18" i="16"/>
  <c r="DP20" i="16"/>
  <c r="DP5" i="16"/>
  <c r="DP7" i="16"/>
  <c r="DP8" i="16"/>
  <c r="DP9" i="16"/>
  <c r="DP6" i="16"/>
  <c r="DP10" i="16"/>
  <c r="DP12" i="16"/>
  <c r="DP13" i="16"/>
  <c r="DP14" i="16"/>
  <c r="DP15" i="16"/>
  <c r="DP11" i="16"/>
  <c r="DP16" i="16"/>
  <c r="DP17" i="16"/>
  <c r="DP22" i="16"/>
  <c r="DP24" i="16"/>
  <c r="DP25" i="16"/>
  <c r="DN23" i="16"/>
  <c r="DQ23" i="16" s="1"/>
  <c r="DN15" i="16"/>
  <c r="DQ15" i="16" s="1"/>
  <c r="DN7" i="16"/>
  <c r="DQ7" i="16" s="1"/>
  <c r="DN8" i="16"/>
  <c r="DQ8" i="16" s="1"/>
  <c r="DN10" i="16"/>
  <c r="DQ10" i="16" s="1"/>
  <c r="DN25" i="16"/>
  <c r="DQ25" i="16" s="1"/>
  <c r="DN18" i="16"/>
  <c r="DQ18" i="16" s="1"/>
  <c r="DN11" i="16"/>
  <c r="DQ11" i="16" s="1"/>
  <c r="DN24" i="16"/>
  <c r="DQ24" i="16" s="1"/>
  <c r="DN22" i="16"/>
  <c r="DQ22" i="16" s="1"/>
  <c r="DN20" i="16"/>
  <c r="DQ20" i="16" s="1"/>
  <c r="DN17" i="16"/>
  <c r="DQ17" i="16" s="1"/>
  <c r="DN13" i="16"/>
  <c r="DQ13" i="16" s="1"/>
  <c r="DN12" i="16"/>
  <c r="DQ12" i="16" s="1"/>
  <c r="DN4" i="16"/>
  <c r="DN16" i="16"/>
  <c r="DQ16" i="16" s="1"/>
  <c r="DN6" i="16"/>
  <c r="DQ6" i="16" s="1"/>
  <c r="DN27" i="16"/>
  <c r="DQ27" i="16" s="1"/>
  <c r="DN21" i="16"/>
  <c r="DQ21" i="16" s="1"/>
  <c r="DN9" i="16"/>
  <c r="DQ9" i="16" s="1"/>
  <c r="DN26" i="16"/>
  <c r="DQ26" i="16" s="1"/>
  <c r="DN19" i="16"/>
  <c r="DQ19" i="16" s="1"/>
  <c r="DN14" i="16"/>
  <c r="DQ14" i="16" s="1"/>
  <c r="DN5" i="16"/>
  <c r="DQ5" i="16" s="1"/>
  <c r="FX6" i="16"/>
  <c r="DS6" i="16"/>
  <c r="GM6" i="16" s="1"/>
  <c r="FX8" i="16"/>
  <c r="FX13" i="16"/>
  <c r="DS13" i="16"/>
  <c r="GM13" i="16" s="1"/>
  <c r="FX20" i="16"/>
  <c r="DS20" i="16"/>
  <c r="GM20" i="16" s="1"/>
  <c r="FX25" i="16"/>
  <c r="DS25" i="16"/>
  <c r="GM25" i="16" s="1"/>
  <c r="FX7" i="16"/>
  <c r="DS7" i="16"/>
  <c r="GM7" i="16" s="1"/>
  <c r="FX5" i="16"/>
  <c r="DS5" i="16"/>
  <c r="GM5" i="16" s="1"/>
  <c r="FX12" i="16"/>
  <c r="DS12" i="16"/>
  <c r="GM12" i="16" s="1"/>
  <c r="FX19" i="16"/>
  <c r="DS19" i="16"/>
  <c r="GM19" i="16" s="1"/>
  <c r="FX22" i="16"/>
  <c r="DS22" i="16"/>
  <c r="GM22" i="16" s="1"/>
  <c r="FX23" i="16"/>
  <c r="FX27" i="16"/>
  <c r="FX11" i="16"/>
  <c r="DS11" i="16"/>
  <c r="GM11" i="16" s="1"/>
  <c r="DS21" i="16"/>
  <c r="GM21" i="16" s="1"/>
  <c r="FX21" i="16"/>
  <c r="FX26" i="16"/>
  <c r="DS26" i="16"/>
  <c r="GM26" i="16" s="1"/>
  <c r="FX9" i="16"/>
  <c r="DS9" i="16"/>
  <c r="GM9" i="16" s="1"/>
  <c r="FX15" i="16"/>
  <c r="DS15" i="16"/>
  <c r="GM15" i="16" s="1"/>
  <c r="FX10" i="16"/>
  <c r="DS10" i="16"/>
  <c r="GM10" i="16" s="1"/>
  <c r="FX14" i="16"/>
  <c r="DS14" i="16"/>
  <c r="GM14" i="16" s="1"/>
  <c r="FX17" i="16"/>
  <c r="DS17" i="16"/>
  <c r="GM17" i="16" s="1"/>
  <c r="FX24" i="16"/>
  <c r="FX18" i="16"/>
  <c r="DS18" i="16"/>
  <c r="GM18" i="16" s="1"/>
  <c r="FX16" i="16"/>
  <c r="DS16" i="16"/>
  <c r="GM16" i="16" s="1"/>
  <c r="ES28" i="16"/>
  <c r="ET4" i="16"/>
  <c r="DK28" i="16"/>
  <c r="DL4" i="16"/>
  <c r="DQ4" i="16" s="1"/>
  <c r="FY28" i="16"/>
  <c r="GN28" i="16" s="1"/>
  <c r="P15" i="13"/>
  <c r="Q15" i="13"/>
  <c r="MZ15" i="13"/>
  <c r="O15" i="13"/>
  <c r="R15" i="13" s="1"/>
  <c r="KS7" i="13"/>
  <c r="LA7" i="13" s="1"/>
  <c r="MH7" i="13" s="1"/>
  <c r="MN7" i="13" s="1"/>
  <c r="KQ7" i="13"/>
  <c r="BR4" i="14"/>
  <c r="BR16" i="14"/>
  <c r="BR21" i="14"/>
  <c r="BR22" i="14"/>
  <c r="BR23" i="14"/>
  <c r="BR25" i="14"/>
  <c r="BR26" i="14"/>
  <c r="BR27" i="14"/>
  <c r="BR18" i="14"/>
  <c r="BR20" i="14"/>
  <c r="BR5" i="14"/>
  <c r="BR10" i="14"/>
  <c r="BR11" i="14"/>
  <c r="BR6" i="14"/>
  <c r="BR9" i="14"/>
  <c r="BR7" i="14"/>
  <c r="BR8" i="14"/>
  <c r="BR12" i="14"/>
  <c r="BR13" i="14"/>
  <c r="BR14" i="14"/>
  <c r="BR15" i="14"/>
  <c r="BR17" i="14"/>
  <c r="BR19" i="14"/>
  <c r="BR24" i="14"/>
  <c r="Y15" i="13"/>
  <c r="Y16" i="13"/>
  <c r="Z15" i="13"/>
  <c r="Z16" i="13"/>
  <c r="AA14" i="13"/>
  <c r="X15" i="13"/>
  <c r="X16" i="13"/>
  <c r="LA6" i="13"/>
  <c r="MH6" i="13" s="1"/>
  <c r="FU8" i="14"/>
  <c r="BA9" i="14"/>
  <c r="GJ9" i="14" s="1"/>
  <c r="FU9" i="14"/>
  <c r="FU10" i="14"/>
  <c r="BA10" i="14"/>
  <c r="GJ10" i="14" s="1"/>
  <c r="FU11" i="14"/>
  <c r="BA11" i="14"/>
  <c r="GJ11" i="14" s="1"/>
  <c r="BA12" i="14"/>
  <c r="GJ12" i="14" s="1"/>
  <c r="FU12" i="14"/>
  <c r="BA13" i="14"/>
  <c r="GJ13" i="14" s="1"/>
  <c r="FU13" i="14"/>
  <c r="FU5" i="14"/>
  <c r="BA5" i="14"/>
  <c r="GJ5" i="14" s="1"/>
  <c r="FU14" i="14"/>
  <c r="BA14" i="14"/>
  <c r="GJ14" i="14" s="1"/>
  <c r="FU15" i="14"/>
  <c r="BA15" i="14"/>
  <c r="GJ15" i="14" s="1"/>
  <c r="FU16" i="14"/>
  <c r="BA16" i="14"/>
  <c r="GJ16" i="14" s="1"/>
  <c r="FU17" i="14"/>
  <c r="BA17" i="14"/>
  <c r="GJ17" i="14" s="1"/>
  <c r="BA18" i="14"/>
  <c r="GJ18" i="14" s="1"/>
  <c r="FU18" i="14"/>
  <c r="BA6" i="14"/>
  <c r="GJ6" i="14" s="1"/>
  <c r="FU6" i="14"/>
  <c r="FU7" i="14"/>
  <c r="BA7" i="14"/>
  <c r="GJ7" i="14" s="1"/>
  <c r="FU19" i="14"/>
  <c r="BA19" i="14"/>
  <c r="GJ19" i="14" s="1"/>
  <c r="BA20" i="14"/>
  <c r="GJ20" i="14" s="1"/>
  <c r="FU20" i="14"/>
  <c r="FU21" i="14"/>
  <c r="BA21" i="14"/>
  <c r="GJ21" i="14" s="1"/>
  <c r="FU22" i="14"/>
  <c r="BA22" i="14"/>
  <c r="GJ22" i="14" s="1"/>
  <c r="FU23" i="14"/>
  <c r="FU24" i="14"/>
  <c r="BA25" i="14"/>
  <c r="GJ25" i="14" s="1"/>
  <c r="FU25" i="14"/>
  <c r="FU27" i="14"/>
  <c r="AY4" i="14"/>
  <c r="AX28" i="14"/>
  <c r="BA26" i="14"/>
  <c r="GJ26" i="14" s="1"/>
  <c r="FU26" i="14"/>
  <c r="O21" i="13"/>
  <c r="R21" i="13" s="1"/>
  <c r="P21" i="13"/>
  <c r="Q21" i="13"/>
  <c r="MZ21" i="13"/>
  <c r="NA14" i="13"/>
  <c r="NC14" i="13"/>
  <c r="NK14" i="13"/>
  <c r="NL14" i="13" s="1"/>
  <c r="NM14" i="13" s="1"/>
  <c r="KQ23" i="13"/>
  <c r="KS23" i="13"/>
  <c r="LA23" i="13" s="1"/>
  <c r="MH23" i="13" s="1"/>
  <c r="MN23" i="13" s="1"/>
  <c r="KQ25" i="13"/>
  <c r="KS25" i="13"/>
  <c r="LA25" i="13" s="1"/>
  <c r="MH25" i="13" s="1"/>
  <c r="MN25" i="13" s="1"/>
  <c r="KQ18" i="13"/>
  <c r="KS18" i="13"/>
  <c r="LA18" i="13" s="1"/>
  <c r="MH18" i="13" s="1"/>
  <c r="MN18" i="13" s="1"/>
  <c r="KQ11" i="13"/>
  <c r="KS11" i="13"/>
  <c r="LA11" i="13" s="1"/>
  <c r="MH11" i="13" s="1"/>
  <c r="MN11" i="13" s="1"/>
  <c r="KQ22" i="13"/>
  <c r="KS22" i="13"/>
  <c r="LA22" i="13" s="1"/>
  <c r="MH22" i="13" s="1"/>
  <c r="MN22" i="13" s="1"/>
  <c r="KQ10" i="13"/>
  <c r="KS10" i="13"/>
  <c r="KQ19" i="13"/>
  <c r="KS19" i="13"/>
  <c r="LA19" i="13" s="1"/>
  <c r="MH19" i="13" s="1"/>
  <c r="MN19" i="13" s="1"/>
  <c r="MZ20" i="13"/>
  <c r="Q20" i="13"/>
  <c r="P20" i="13"/>
  <c r="O20" i="13"/>
  <c r="R20" i="13" s="1"/>
  <c r="EJ5" i="14"/>
  <c r="ET28" i="14" s="1"/>
  <c r="ET4" i="14" s="1"/>
  <c r="EJ6" i="14"/>
  <c r="EV28" i="14" s="1"/>
  <c r="EJ4" i="14"/>
  <c r="ER28" i="14" s="1"/>
  <c r="MZ18" i="13"/>
  <c r="Q18" i="13"/>
  <c r="P18" i="13"/>
  <c r="O18" i="13"/>
  <c r="R18" i="13" s="1"/>
  <c r="DD5" i="14"/>
  <c r="DA5" i="14" s="1"/>
  <c r="DA7" i="14" s="1"/>
  <c r="DL28" i="14" s="1"/>
  <c r="DL4" i="14" s="1"/>
  <c r="DD4" i="14"/>
  <c r="DB4" i="14" s="1"/>
  <c r="DD6" i="14"/>
  <c r="DC6" i="14" s="1"/>
  <c r="MZ19" i="13"/>
  <c r="Q19" i="13"/>
  <c r="P19" i="13"/>
  <c r="O19" i="13"/>
  <c r="R19" i="13" s="1"/>
  <c r="EB28" i="14"/>
  <c r="EA13" i="14"/>
  <c r="EA20" i="14"/>
  <c r="EA21" i="14"/>
  <c r="EA5" i="14"/>
  <c r="EA7" i="14"/>
  <c r="EA27" i="14"/>
  <c r="FY27" i="14" s="1"/>
  <c r="EA22" i="14"/>
  <c r="EA6" i="14"/>
  <c r="EA24" i="14"/>
  <c r="FY24" i="14" s="1"/>
  <c r="EA16" i="14"/>
  <c r="EA4" i="14"/>
  <c r="EA10" i="14"/>
  <c r="EA8" i="14"/>
  <c r="FY8" i="14" s="1"/>
  <c r="EA18" i="14"/>
  <c r="EA9" i="14"/>
  <c r="EA11" i="14"/>
  <c r="EA12" i="14"/>
  <c r="EA17" i="14"/>
  <c r="EA15" i="14"/>
  <c r="EA19" i="14"/>
  <c r="EA26" i="14"/>
  <c r="EA14" i="14"/>
  <c r="EA23" i="14"/>
  <c r="FY23" i="14" s="1"/>
  <c r="EA25" i="14"/>
  <c r="KQ8" i="13"/>
  <c r="KS8" i="13"/>
  <c r="LA8" i="13" s="1"/>
  <c r="MH8" i="13" s="1"/>
  <c r="MN8" i="13" s="1"/>
  <c r="KQ9" i="13"/>
  <c r="KS9" i="13"/>
  <c r="LA9" i="13" s="1"/>
  <c r="MH9" i="13" s="1"/>
  <c r="MN9" i="13" s="1"/>
  <c r="KQ13" i="13"/>
  <c r="KS13" i="13"/>
  <c r="LA13" i="13" s="1"/>
  <c r="MH13" i="13" s="1"/>
  <c r="MN13" i="13" s="1"/>
  <c r="KQ14" i="13"/>
  <c r="KS14" i="13"/>
  <c r="LA14" i="13" s="1"/>
  <c r="MH14" i="13" s="1"/>
  <c r="MN14" i="13" s="1"/>
  <c r="KQ17" i="13"/>
  <c r="KS17" i="13"/>
  <c r="LA17" i="13" s="1"/>
  <c r="MH17" i="13" s="1"/>
  <c r="MN17" i="13" s="1"/>
  <c r="ES28" i="14"/>
  <c r="DK28" i="14"/>
  <c r="MK26" i="13"/>
  <c r="KI23" i="5"/>
  <c r="MK23" i="5"/>
  <c r="KI12" i="5"/>
  <c r="MK12" i="5"/>
  <c r="MK16" i="5"/>
  <c r="KI16" i="5"/>
  <c r="MK25" i="5"/>
  <c r="KI25" i="5"/>
  <c r="P14" i="5"/>
  <c r="Q14" i="5"/>
  <c r="O14" i="5"/>
  <c r="R14" i="5" s="1"/>
  <c r="MZ14" i="5"/>
  <c r="KS6" i="5"/>
  <c r="LA6" i="5" s="1"/>
  <c r="MH6" i="5" s="1"/>
  <c r="MN6" i="5" s="1"/>
  <c r="KQ6" i="5"/>
  <c r="KS20" i="5"/>
  <c r="LA20" i="5" s="1"/>
  <c r="MH20" i="5" s="1"/>
  <c r="MN20" i="5" s="1"/>
  <c r="KQ20" i="5"/>
  <c r="MK7" i="5"/>
  <c r="KI7" i="5"/>
  <c r="LL28" i="5"/>
  <c r="D5" i="8"/>
  <c r="N15" i="5"/>
  <c r="LZ27" i="5"/>
  <c r="AI21" i="5"/>
  <c r="AM4" i="8"/>
  <c r="AM6" i="8" s="1"/>
  <c r="N19" i="5"/>
  <c r="D9" i="8"/>
  <c r="EA28" i="8" s="1"/>
  <c r="LR28" i="5"/>
  <c r="MK13" i="5"/>
  <c r="KI13" i="5"/>
  <c r="LV28" i="5"/>
  <c r="N18" i="5"/>
  <c r="D8" i="8"/>
  <c r="DD7" i="8" s="1"/>
  <c r="D10" i="8"/>
  <c r="EJ7" i="8" s="1"/>
  <c r="N20" i="5"/>
  <c r="LX28" i="5"/>
  <c r="MK10" i="5"/>
  <c r="KI10" i="5"/>
  <c r="KI15" i="5"/>
  <c r="MK15" i="5"/>
  <c r="MK18" i="5"/>
  <c r="KI18" i="5"/>
  <c r="KI8" i="5"/>
  <c r="MK8" i="5"/>
  <c r="MK17" i="5"/>
  <c r="KI17" i="5"/>
  <c r="KI24" i="5"/>
  <c r="MK24" i="5"/>
  <c r="MK9" i="5"/>
  <c r="KI9" i="5"/>
  <c r="KI21" i="5"/>
  <c r="MK21" i="5"/>
  <c r="KI14" i="5"/>
  <c r="MK14" i="5"/>
  <c r="MK11" i="5"/>
  <c r="KI11" i="5"/>
  <c r="MK19" i="5"/>
  <c r="KI19" i="5"/>
  <c r="MK22" i="5"/>
  <c r="KI22" i="5"/>
  <c r="DK28" i="8"/>
  <c r="ES28" i="8"/>
  <c r="BA23" i="8"/>
  <c r="GJ23" i="8" s="1"/>
  <c r="BA24" i="8"/>
  <c r="GJ24" i="8" s="1"/>
  <c r="BA27" i="8"/>
  <c r="GJ27" i="8" s="1"/>
  <c r="DK28" i="20" l="1"/>
  <c r="DL4" i="20"/>
  <c r="DQ4" i="20" s="1"/>
  <c r="ES28" i="20"/>
  <c r="ET4" i="20"/>
  <c r="AA15" i="19"/>
  <c r="AA16" i="19"/>
  <c r="LA26" i="19"/>
  <c r="LA27" i="19" s="1"/>
  <c r="KS27" i="19"/>
  <c r="N10" i="19"/>
  <c r="MN6" i="19"/>
  <c r="MH26" i="19"/>
  <c r="MN26" i="19" s="1"/>
  <c r="MN27" i="19" s="1"/>
  <c r="AY28" i="20"/>
  <c r="AZ4" i="20" s="1"/>
  <c r="BO4" i="20" s="1"/>
  <c r="BA4" i="20"/>
  <c r="GJ4" i="20" s="1"/>
  <c r="FU4" i="20"/>
  <c r="ND14" i="19"/>
  <c r="NC21" i="19"/>
  <c r="MZ24" i="19"/>
  <c r="NK24" i="19" s="1"/>
  <c r="NL24" i="19" s="1"/>
  <c r="NM24" i="19" s="1"/>
  <c r="NA21" i="19"/>
  <c r="NK21" i="19"/>
  <c r="NL21" i="19" s="1"/>
  <c r="NM21" i="19" s="1"/>
  <c r="DS5" i="20"/>
  <c r="GM5" i="20" s="1"/>
  <c r="FX5" i="20"/>
  <c r="FX20" i="20"/>
  <c r="DS20" i="20"/>
  <c r="GM20" i="20" s="1"/>
  <c r="FX23" i="20"/>
  <c r="DS17" i="20"/>
  <c r="GM17" i="20" s="1"/>
  <c r="FX17" i="20"/>
  <c r="DS26" i="20"/>
  <c r="GM26" i="20" s="1"/>
  <c r="FX26" i="20"/>
  <c r="FX21" i="20"/>
  <c r="DS21" i="20"/>
  <c r="GM21" i="20" s="1"/>
  <c r="AA15" i="17"/>
  <c r="AA16" i="17"/>
  <c r="LA26" i="17"/>
  <c r="LA27" i="17" s="1"/>
  <c r="KS27" i="17"/>
  <c r="N10" i="17"/>
  <c r="MN6" i="17"/>
  <c r="MH26" i="17"/>
  <c r="MN26" i="17" s="1"/>
  <c r="MN27" i="17" s="1"/>
  <c r="AY28" i="18"/>
  <c r="AZ4" i="18"/>
  <c r="BO4" i="18" s="1"/>
  <c r="BA4" i="18"/>
  <c r="GJ4" i="18" s="1"/>
  <c r="FU4" i="18"/>
  <c r="ND14" i="17"/>
  <c r="NC21" i="17"/>
  <c r="MZ24" i="17"/>
  <c r="NK24" i="17" s="1"/>
  <c r="NL24" i="17" s="1"/>
  <c r="NM24" i="17" s="1"/>
  <c r="NA21" i="17"/>
  <c r="NK21" i="17"/>
  <c r="NL21" i="17" s="1"/>
  <c r="NM21" i="17" s="1"/>
  <c r="DQ4" i="18"/>
  <c r="FX16" i="18"/>
  <c r="DS16" i="18"/>
  <c r="GM16" i="18" s="1"/>
  <c r="FX5" i="18"/>
  <c r="FX17" i="18"/>
  <c r="DS17" i="18"/>
  <c r="GM17" i="18" s="1"/>
  <c r="FX14" i="18"/>
  <c r="DS14" i="18"/>
  <c r="GM14" i="18" s="1"/>
  <c r="FX13" i="18"/>
  <c r="DS13" i="18"/>
  <c r="GM13" i="18" s="1"/>
  <c r="FX7" i="18"/>
  <c r="DS7" i="18"/>
  <c r="GM7" i="18" s="1"/>
  <c r="AA15" i="15"/>
  <c r="AA16" i="15"/>
  <c r="N10" i="15"/>
  <c r="KS27" i="15"/>
  <c r="LA26" i="15"/>
  <c r="LA27" i="15" s="1"/>
  <c r="MN6" i="15"/>
  <c r="MH26" i="15"/>
  <c r="MN26" i="15" s="1"/>
  <c r="MN27" i="15" s="1"/>
  <c r="AY28" i="16"/>
  <c r="AZ4" i="16" s="1"/>
  <c r="BO4" i="16" s="1"/>
  <c r="BA4" i="16"/>
  <c r="GJ4" i="16" s="1"/>
  <c r="FU4" i="16"/>
  <c r="ND14" i="15"/>
  <c r="NC21" i="15"/>
  <c r="MZ24" i="15"/>
  <c r="NK24" i="15" s="1"/>
  <c r="NL24" i="15" s="1"/>
  <c r="NM24" i="15" s="1"/>
  <c r="NA21" i="15"/>
  <c r="NK21" i="15"/>
  <c r="NL21" i="15" s="1"/>
  <c r="NM21" i="15" s="1"/>
  <c r="DS4" i="16"/>
  <c r="GM4" i="16" s="1"/>
  <c r="FX4" i="16"/>
  <c r="FX28" i="16" s="1"/>
  <c r="GM28" i="16" s="1"/>
  <c r="DQ28" i="16"/>
  <c r="DR4" i="16" s="1"/>
  <c r="NA15" i="13"/>
  <c r="NC15" i="13"/>
  <c r="ND15" i="13" s="1"/>
  <c r="NK15" i="13"/>
  <c r="NL15" i="13" s="1"/>
  <c r="NM15" i="13" s="1"/>
  <c r="AA16" i="13"/>
  <c r="AA15" i="13"/>
  <c r="MN6" i="13"/>
  <c r="MH26" i="13"/>
  <c r="MN26" i="13" s="1"/>
  <c r="MN27" i="13" s="1"/>
  <c r="AY28" i="14"/>
  <c r="AZ4" i="14" s="1"/>
  <c r="BO4" i="14" s="1"/>
  <c r="FU4" i="14"/>
  <c r="BA4" i="14"/>
  <c r="GJ4" i="14" s="1"/>
  <c r="MZ24" i="13"/>
  <c r="NK24" i="13" s="1"/>
  <c r="NL24" i="13" s="1"/>
  <c r="NM24" i="13" s="1"/>
  <c r="NA21" i="13"/>
  <c r="NK21" i="13"/>
  <c r="NL21" i="13" s="1"/>
  <c r="NM21" i="13" s="1"/>
  <c r="ND14" i="13"/>
  <c r="NA20" i="13"/>
  <c r="NC20" i="13"/>
  <c r="ND20" i="13" s="1"/>
  <c r="NK20" i="13"/>
  <c r="NL20" i="13" s="1"/>
  <c r="NM20" i="13" s="1"/>
  <c r="ET5" i="14"/>
  <c r="ET26" i="14"/>
  <c r="ET25" i="14"/>
  <c r="ET23" i="14"/>
  <c r="ET18" i="14"/>
  <c r="ET24" i="14"/>
  <c r="ET12" i="14"/>
  <c r="ET19" i="14"/>
  <c r="ET16" i="14"/>
  <c r="ET15" i="14"/>
  <c r="ET7" i="14"/>
  <c r="ET17" i="14"/>
  <c r="ET14" i="14"/>
  <c r="ET11" i="14"/>
  <c r="ET8" i="14"/>
  <c r="ET6" i="14"/>
  <c r="ET21" i="14"/>
  <c r="ET20" i="14"/>
  <c r="ET13" i="14"/>
  <c r="ET10" i="14"/>
  <c r="ET9" i="14"/>
  <c r="ET22" i="14"/>
  <c r="ET27" i="14"/>
  <c r="EV4" i="14"/>
  <c r="EV19" i="14"/>
  <c r="EV20" i="14"/>
  <c r="EV21" i="14"/>
  <c r="EV22" i="14"/>
  <c r="EV24" i="14"/>
  <c r="EV25" i="14"/>
  <c r="EV26" i="14"/>
  <c r="EV27" i="14"/>
  <c r="EV23" i="14"/>
  <c r="EV5" i="14"/>
  <c r="EV7" i="14"/>
  <c r="EV9" i="14"/>
  <c r="EV10" i="14"/>
  <c r="EV11" i="14"/>
  <c r="EV6" i="14"/>
  <c r="EV8" i="14"/>
  <c r="EV12" i="14"/>
  <c r="EV13" i="14"/>
  <c r="EV14" i="14"/>
  <c r="EV15" i="14"/>
  <c r="EV16" i="14"/>
  <c r="EV18" i="14"/>
  <c r="EV17" i="14"/>
  <c r="NA18" i="13"/>
  <c r="NC18" i="13"/>
  <c r="ND18" i="13" s="1"/>
  <c r="NK18" i="13"/>
  <c r="NL18" i="13" s="1"/>
  <c r="NM18" i="13" s="1"/>
  <c r="DL5" i="14"/>
  <c r="DL19" i="14"/>
  <c r="DL16" i="14"/>
  <c r="DL15" i="14"/>
  <c r="DL7" i="14"/>
  <c r="DL17" i="14"/>
  <c r="DL8" i="14"/>
  <c r="DL27" i="14"/>
  <c r="DL26" i="14"/>
  <c r="DL25" i="14"/>
  <c r="DL23" i="14"/>
  <c r="DL18" i="14"/>
  <c r="DL24" i="14"/>
  <c r="DL14" i="14"/>
  <c r="DL12" i="14"/>
  <c r="DL11" i="14"/>
  <c r="DL6" i="14"/>
  <c r="DL21" i="14"/>
  <c r="DL20" i="14"/>
  <c r="DL13" i="14"/>
  <c r="DL10" i="14"/>
  <c r="DL9" i="14"/>
  <c r="DL22" i="14"/>
  <c r="DC4" i="14"/>
  <c r="DC7" i="14" s="1"/>
  <c r="DP28" i="14" s="1"/>
  <c r="DB7" i="14"/>
  <c r="DN28" i="14" s="1"/>
  <c r="NA19" i="13"/>
  <c r="NC19" i="13"/>
  <c r="NK19" i="13"/>
  <c r="NL19" i="13" s="1"/>
  <c r="NM19" i="13" s="1"/>
  <c r="FY13" i="14"/>
  <c r="EB13" i="14"/>
  <c r="GN13" i="14" s="1"/>
  <c r="FY20" i="14"/>
  <c r="EB20" i="14"/>
  <c r="GN20" i="14" s="1"/>
  <c r="FY21" i="14"/>
  <c r="EB21" i="14"/>
  <c r="GN21" i="14" s="1"/>
  <c r="EB5" i="14"/>
  <c r="GN5" i="14" s="1"/>
  <c r="FY5" i="14"/>
  <c r="EB7" i="14"/>
  <c r="GN7" i="14" s="1"/>
  <c r="FY7" i="14"/>
  <c r="FY22" i="14"/>
  <c r="EB22" i="14"/>
  <c r="GN22" i="14" s="1"/>
  <c r="FY6" i="14"/>
  <c r="EB6" i="14"/>
  <c r="GN6" i="14" s="1"/>
  <c r="FY16" i="14"/>
  <c r="EB16" i="14"/>
  <c r="GN16" i="14" s="1"/>
  <c r="FY4" i="14"/>
  <c r="EB4" i="14"/>
  <c r="GN4" i="14" s="1"/>
  <c r="FY10" i="14"/>
  <c r="EB10" i="14"/>
  <c r="GN10" i="14" s="1"/>
  <c r="FY18" i="14"/>
  <c r="EB18" i="14"/>
  <c r="GN18" i="14" s="1"/>
  <c r="EB9" i="14"/>
  <c r="GN9" i="14" s="1"/>
  <c r="FY9" i="14"/>
  <c r="EB11" i="14"/>
  <c r="GN11" i="14" s="1"/>
  <c r="FY11" i="14"/>
  <c r="EB12" i="14"/>
  <c r="GN12" i="14" s="1"/>
  <c r="FY12" i="14"/>
  <c r="EB17" i="14"/>
  <c r="GN17" i="14" s="1"/>
  <c r="FY17" i="14"/>
  <c r="EB15" i="14"/>
  <c r="GN15" i="14" s="1"/>
  <c r="FY15" i="14"/>
  <c r="EB19" i="14"/>
  <c r="GN19" i="14" s="1"/>
  <c r="FY19" i="14"/>
  <c r="FY26" i="14"/>
  <c r="EB26" i="14"/>
  <c r="GN26" i="14" s="1"/>
  <c r="EB14" i="14"/>
  <c r="GN14" i="14" s="1"/>
  <c r="FY14" i="14"/>
  <c r="FY25" i="14"/>
  <c r="EB25" i="14"/>
  <c r="GN25" i="14" s="1"/>
  <c r="LA10" i="13"/>
  <c r="MH10" i="13" s="1"/>
  <c r="MN10" i="13" s="1"/>
  <c r="KS26" i="13"/>
  <c r="KS23" i="5"/>
  <c r="LA23" i="5" s="1"/>
  <c r="MH23" i="5" s="1"/>
  <c r="MN23" i="5" s="1"/>
  <c r="KQ23" i="5"/>
  <c r="KS12" i="5"/>
  <c r="LA12" i="5" s="1"/>
  <c r="MH12" i="5" s="1"/>
  <c r="MN12" i="5" s="1"/>
  <c r="KQ12" i="5"/>
  <c r="KQ16" i="5"/>
  <c r="KS16" i="5"/>
  <c r="LA16" i="5" s="1"/>
  <c r="MH16" i="5" s="1"/>
  <c r="MN16" i="5" s="1"/>
  <c r="KS25" i="5"/>
  <c r="LA25" i="5" s="1"/>
  <c r="MH25" i="5" s="1"/>
  <c r="MN25" i="5" s="1"/>
  <c r="KQ25" i="5"/>
  <c r="NK14" i="5"/>
  <c r="NL14" i="5" s="1"/>
  <c r="NM14" i="5" s="1"/>
  <c r="NC14" i="5"/>
  <c r="ND14" i="5" s="1"/>
  <c r="NA14" i="5"/>
  <c r="KS7" i="5"/>
  <c r="KQ7" i="5"/>
  <c r="O15" i="5"/>
  <c r="R15" i="5" s="1"/>
  <c r="N21" i="5"/>
  <c r="Q15" i="5"/>
  <c r="MZ15" i="5"/>
  <c r="P15" i="5"/>
  <c r="LZ28" i="5"/>
  <c r="KI26" i="5"/>
  <c r="KQ26" i="5" s="1"/>
  <c r="AX27" i="8"/>
  <c r="AY27" i="8" s="1"/>
  <c r="FU27" i="8" s="1"/>
  <c r="AX25" i="8"/>
  <c r="AY25" i="8" s="1"/>
  <c r="AX21" i="8"/>
  <c r="AY21" i="8" s="1"/>
  <c r="AX26" i="8"/>
  <c r="AY26" i="8" s="1"/>
  <c r="AX19" i="8"/>
  <c r="AY19" i="8" s="1"/>
  <c r="AX14" i="8"/>
  <c r="AY14" i="8" s="1"/>
  <c r="AX8" i="8"/>
  <c r="AY8" i="8" s="1"/>
  <c r="FU8" i="8" s="1"/>
  <c r="AX18" i="8"/>
  <c r="AY18" i="8" s="1"/>
  <c r="AX4" i="8"/>
  <c r="AX22" i="8"/>
  <c r="AY22" i="8" s="1"/>
  <c r="AX5" i="8"/>
  <c r="AY5" i="8" s="1"/>
  <c r="AX9" i="8"/>
  <c r="AY9" i="8" s="1"/>
  <c r="AX12" i="8"/>
  <c r="AY12" i="8" s="1"/>
  <c r="AX24" i="8"/>
  <c r="AY24" i="8" s="1"/>
  <c r="FU24" i="8" s="1"/>
  <c r="AX13" i="8"/>
  <c r="AY13" i="8" s="1"/>
  <c r="AX6" i="8"/>
  <c r="AY6" i="8" s="1"/>
  <c r="AX20" i="8"/>
  <c r="AY20" i="8" s="1"/>
  <c r="AX16" i="8"/>
  <c r="AY16" i="8" s="1"/>
  <c r="AX15" i="8"/>
  <c r="AY15" i="8" s="1"/>
  <c r="AX11" i="8"/>
  <c r="AY11" i="8" s="1"/>
  <c r="AX10" i="8"/>
  <c r="AY10" i="8" s="1"/>
  <c r="AX7" i="8"/>
  <c r="AY7" i="8" s="1"/>
  <c r="AX17" i="8"/>
  <c r="AY17" i="8" s="1"/>
  <c r="AX23" i="8"/>
  <c r="AY23" i="8" s="1"/>
  <c r="FU23" i="8" s="1"/>
  <c r="O19" i="5"/>
  <c r="R19" i="5" s="1"/>
  <c r="P19" i="5"/>
  <c r="Q19" i="5"/>
  <c r="MZ19" i="5"/>
  <c r="EA22" i="8"/>
  <c r="EA12" i="8"/>
  <c r="EA9" i="8"/>
  <c r="EA19" i="8"/>
  <c r="EA17" i="8"/>
  <c r="EB28" i="8"/>
  <c r="EA20" i="8"/>
  <c r="EA4" i="8"/>
  <c r="EA8" i="8"/>
  <c r="FY8" i="8" s="1"/>
  <c r="EA16" i="8"/>
  <c r="EA10" i="8"/>
  <c r="EA14" i="8"/>
  <c r="EA7" i="8"/>
  <c r="EA21" i="8"/>
  <c r="EA24" i="8"/>
  <c r="FY24" i="8" s="1"/>
  <c r="EA15" i="8"/>
  <c r="EA13" i="8"/>
  <c r="EA23" i="8"/>
  <c r="FY23" i="8" s="1"/>
  <c r="EA25" i="8"/>
  <c r="EA26" i="8"/>
  <c r="EA27" i="8"/>
  <c r="FY27" i="8" s="1"/>
  <c r="EA6" i="8"/>
  <c r="EA18" i="8"/>
  <c r="EA5" i="8"/>
  <c r="EA11" i="8"/>
  <c r="KQ13" i="5"/>
  <c r="KS13" i="5"/>
  <c r="LA13" i="5" s="1"/>
  <c r="MH13" i="5" s="1"/>
  <c r="MN13" i="5" s="1"/>
  <c r="Q18" i="5"/>
  <c r="O18" i="5"/>
  <c r="R18" i="5" s="1"/>
  <c r="MZ18" i="5"/>
  <c r="P18" i="5"/>
  <c r="DD5" i="8"/>
  <c r="DA5" i="8" s="1"/>
  <c r="DA7" i="8" s="1"/>
  <c r="DL28" i="8" s="1"/>
  <c r="DD6" i="8"/>
  <c r="DC6" i="8" s="1"/>
  <c r="DD4" i="8"/>
  <c r="DB4" i="8" s="1"/>
  <c r="EJ4" i="8"/>
  <c r="ER28" i="8" s="1"/>
  <c r="EJ5" i="8"/>
  <c r="ET28" i="8" s="1"/>
  <c r="EJ6" i="8"/>
  <c r="EV28" i="8" s="1"/>
  <c r="Q20" i="5"/>
  <c r="P20" i="5"/>
  <c r="O20" i="5"/>
  <c r="R20" i="5" s="1"/>
  <c r="MZ20" i="5"/>
  <c r="KQ10" i="5"/>
  <c r="KS10" i="5"/>
  <c r="LA10" i="5" s="1"/>
  <c r="MH10" i="5" s="1"/>
  <c r="MN10" i="5" s="1"/>
  <c r="KS15" i="5"/>
  <c r="LA15" i="5" s="1"/>
  <c r="MH15" i="5" s="1"/>
  <c r="MN15" i="5" s="1"/>
  <c r="KQ15" i="5"/>
  <c r="KS18" i="5"/>
  <c r="LA18" i="5" s="1"/>
  <c r="MH18" i="5" s="1"/>
  <c r="MN18" i="5" s="1"/>
  <c r="KQ18" i="5"/>
  <c r="KQ8" i="5"/>
  <c r="KS8" i="5"/>
  <c r="LA8" i="5" s="1"/>
  <c r="MH8" i="5" s="1"/>
  <c r="MN8" i="5" s="1"/>
  <c r="KS17" i="5"/>
  <c r="LA17" i="5" s="1"/>
  <c r="MH17" i="5" s="1"/>
  <c r="MN17" i="5" s="1"/>
  <c r="KQ17" i="5"/>
  <c r="KS24" i="5"/>
  <c r="LA24" i="5" s="1"/>
  <c r="MH24" i="5" s="1"/>
  <c r="MN24" i="5" s="1"/>
  <c r="KQ24" i="5"/>
  <c r="KQ9" i="5"/>
  <c r="KS9" i="5"/>
  <c r="LA9" i="5" s="1"/>
  <c r="MH9" i="5" s="1"/>
  <c r="MN9" i="5" s="1"/>
  <c r="KS21" i="5"/>
  <c r="LA21" i="5" s="1"/>
  <c r="MH21" i="5" s="1"/>
  <c r="MN21" i="5" s="1"/>
  <c r="KQ21" i="5"/>
  <c r="KS14" i="5"/>
  <c r="LA14" i="5" s="1"/>
  <c r="MH14" i="5" s="1"/>
  <c r="MN14" i="5" s="1"/>
  <c r="KQ14" i="5"/>
  <c r="KS11" i="5"/>
  <c r="LA11" i="5" s="1"/>
  <c r="MH11" i="5" s="1"/>
  <c r="MN11" i="5" s="1"/>
  <c r="KQ11" i="5"/>
  <c r="KQ19" i="5"/>
  <c r="KS19" i="5"/>
  <c r="LA19" i="5" s="1"/>
  <c r="MH19" i="5" s="1"/>
  <c r="MN19" i="5" s="1"/>
  <c r="KQ22" i="5"/>
  <c r="KS22" i="5"/>
  <c r="LA22" i="5" s="1"/>
  <c r="MH22" i="5" s="1"/>
  <c r="MN22" i="5" s="1"/>
  <c r="MK26" i="5"/>
  <c r="DS27" i="8"/>
  <c r="GM27" i="8" s="1"/>
  <c r="EY27" i="8"/>
  <c r="GO27" i="8" s="1"/>
  <c r="EY24" i="8"/>
  <c r="GO24" i="8" s="1"/>
  <c r="EY23" i="8"/>
  <c r="GO23" i="8" s="1"/>
  <c r="DS4" i="20" l="1"/>
  <c r="GM4" i="20" s="1"/>
  <c r="FX4" i="20"/>
  <c r="FX28" i="20" s="1"/>
  <c r="GM28" i="20" s="1"/>
  <c r="DQ28" i="20"/>
  <c r="DR4" i="20" s="1"/>
  <c r="N12" i="19"/>
  <c r="O10" i="19"/>
  <c r="R10" i="19" s="1"/>
  <c r="P10" i="19"/>
  <c r="Q10" i="19"/>
  <c r="MZ10" i="19"/>
  <c r="X18" i="19"/>
  <c r="Y18" i="19"/>
  <c r="Z18" i="19"/>
  <c r="AZ27" i="20"/>
  <c r="BO27" i="20" s="1"/>
  <c r="BP27" i="20" s="1"/>
  <c r="BS27" i="20" s="1"/>
  <c r="FV27" i="20" s="1"/>
  <c r="AZ21" i="20"/>
  <c r="BO21" i="20" s="1"/>
  <c r="BP21" i="20" s="1"/>
  <c r="BS21" i="20" s="1"/>
  <c r="AZ15" i="20"/>
  <c r="BO15" i="20" s="1"/>
  <c r="BP15" i="20" s="1"/>
  <c r="BS15" i="20" s="1"/>
  <c r="AZ13" i="20"/>
  <c r="BO13" i="20" s="1"/>
  <c r="BP13" i="20" s="1"/>
  <c r="BS13" i="20" s="1"/>
  <c r="AZ7" i="20"/>
  <c r="BO7" i="20" s="1"/>
  <c r="BP7" i="20" s="1"/>
  <c r="BS7" i="20" s="1"/>
  <c r="AZ25" i="20"/>
  <c r="BO25" i="20" s="1"/>
  <c r="BP25" i="20" s="1"/>
  <c r="BS25" i="20" s="1"/>
  <c r="AZ23" i="20"/>
  <c r="BO23" i="20" s="1"/>
  <c r="BP23" i="20" s="1"/>
  <c r="BS23" i="20" s="1"/>
  <c r="FV23" i="20" s="1"/>
  <c r="AZ22" i="20"/>
  <c r="BO22" i="20" s="1"/>
  <c r="BP22" i="20" s="1"/>
  <c r="BS22" i="20" s="1"/>
  <c r="AZ16" i="20"/>
  <c r="BO16" i="20" s="1"/>
  <c r="BP16" i="20" s="1"/>
  <c r="BS16" i="20" s="1"/>
  <c r="AZ12" i="20"/>
  <c r="BO12" i="20" s="1"/>
  <c r="BP12" i="20" s="1"/>
  <c r="BS12" i="20" s="1"/>
  <c r="AZ6" i="20"/>
  <c r="BO6" i="20" s="1"/>
  <c r="BP6" i="20" s="1"/>
  <c r="BS6" i="20" s="1"/>
  <c r="AZ5" i="20"/>
  <c r="BO5" i="20" s="1"/>
  <c r="BP5" i="20" s="1"/>
  <c r="BS5" i="20" s="1"/>
  <c r="AZ14" i="20"/>
  <c r="BO14" i="20" s="1"/>
  <c r="BP14" i="20" s="1"/>
  <c r="BS14" i="20" s="1"/>
  <c r="AZ19" i="20"/>
  <c r="BO19" i="20" s="1"/>
  <c r="BP19" i="20" s="1"/>
  <c r="BS19" i="20" s="1"/>
  <c r="AZ18" i="20"/>
  <c r="BO18" i="20" s="1"/>
  <c r="BP18" i="20" s="1"/>
  <c r="BS18" i="20" s="1"/>
  <c r="AZ17" i="20"/>
  <c r="BO17" i="20" s="1"/>
  <c r="BP17" i="20" s="1"/>
  <c r="BS17" i="20" s="1"/>
  <c r="AZ11" i="20"/>
  <c r="BO11" i="20" s="1"/>
  <c r="BP11" i="20" s="1"/>
  <c r="BS11" i="20" s="1"/>
  <c r="AZ10" i="20"/>
  <c r="BO10" i="20" s="1"/>
  <c r="AZ26" i="20"/>
  <c r="BO26" i="20" s="1"/>
  <c r="BP26" i="20" s="1"/>
  <c r="BS26" i="20" s="1"/>
  <c r="AZ20" i="20"/>
  <c r="BO20" i="20" s="1"/>
  <c r="BP20" i="20" s="1"/>
  <c r="BS20" i="20" s="1"/>
  <c r="AZ9" i="20"/>
  <c r="BO9" i="20" s="1"/>
  <c r="BP9" i="20" s="1"/>
  <c r="BS9" i="20" s="1"/>
  <c r="AZ8" i="20"/>
  <c r="BO8" i="20" s="1"/>
  <c r="BP8" i="20" s="1"/>
  <c r="BS8" i="20" s="1"/>
  <c r="FV8" i="20" s="1"/>
  <c r="AZ24" i="20"/>
  <c r="BO24" i="20" s="1"/>
  <c r="BP24" i="20" s="1"/>
  <c r="BS24" i="20" s="1"/>
  <c r="FV24" i="20" s="1"/>
  <c r="BA28" i="20"/>
  <c r="AZ28" i="20"/>
  <c r="BP4" i="20"/>
  <c r="BS4" i="20" s="1"/>
  <c r="FU28" i="20"/>
  <c r="NC24" i="19"/>
  <c r="ND21" i="19"/>
  <c r="N12" i="17"/>
  <c r="O10" i="17"/>
  <c r="R10" i="17" s="1"/>
  <c r="P10" i="17"/>
  <c r="Q10" i="17"/>
  <c r="MZ10" i="17"/>
  <c r="X18" i="17"/>
  <c r="Y18" i="17"/>
  <c r="Z18" i="17"/>
  <c r="AZ27" i="18"/>
  <c r="BO27" i="18" s="1"/>
  <c r="BP27" i="18" s="1"/>
  <c r="BS27" i="18" s="1"/>
  <c r="FV27" i="18" s="1"/>
  <c r="AZ26" i="18"/>
  <c r="BO26" i="18" s="1"/>
  <c r="BP26" i="18" s="1"/>
  <c r="BS26" i="18" s="1"/>
  <c r="AZ24" i="18"/>
  <c r="BO24" i="18" s="1"/>
  <c r="BP24" i="18" s="1"/>
  <c r="BS24" i="18" s="1"/>
  <c r="FV24" i="18" s="1"/>
  <c r="AZ7" i="18"/>
  <c r="BO7" i="18" s="1"/>
  <c r="BP7" i="18" s="1"/>
  <c r="BS7" i="18" s="1"/>
  <c r="AZ19" i="18"/>
  <c r="BO19" i="18" s="1"/>
  <c r="BP19" i="18" s="1"/>
  <c r="BS19" i="18" s="1"/>
  <c r="AZ17" i="18"/>
  <c r="BO17" i="18" s="1"/>
  <c r="BP17" i="18" s="1"/>
  <c r="BS17" i="18" s="1"/>
  <c r="AZ15" i="18"/>
  <c r="BO15" i="18" s="1"/>
  <c r="BP15" i="18" s="1"/>
  <c r="BS15" i="18" s="1"/>
  <c r="AZ13" i="18"/>
  <c r="BO13" i="18" s="1"/>
  <c r="BP13" i="18" s="1"/>
  <c r="BS13" i="18" s="1"/>
  <c r="AZ11" i="18"/>
  <c r="BO11" i="18" s="1"/>
  <c r="BP11" i="18" s="1"/>
  <c r="BS11" i="18" s="1"/>
  <c r="AZ10" i="18"/>
  <c r="BO10" i="18" s="1"/>
  <c r="BP10" i="18" s="1"/>
  <c r="BS10" i="18" s="1"/>
  <c r="AZ5" i="18"/>
  <c r="BO5" i="18" s="1"/>
  <c r="BP5" i="18" s="1"/>
  <c r="BS5" i="18" s="1"/>
  <c r="AZ23" i="18"/>
  <c r="BO23" i="18" s="1"/>
  <c r="BP23" i="18" s="1"/>
  <c r="BS23" i="18" s="1"/>
  <c r="FV23" i="18" s="1"/>
  <c r="AZ21" i="18"/>
  <c r="BO21" i="18" s="1"/>
  <c r="BP21" i="18" s="1"/>
  <c r="BS21" i="18" s="1"/>
  <c r="AZ22" i="18"/>
  <c r="BO22" i="18" s="1"/>
  <c r="BP22" i="18" s="1"/>
  <c r="BS22" i="18" s="1"/>
  <c r="AZ6" i="18"/>
  <c r="BO6" i="18" s="1"/>
  <c r="BP6" i="18" s="1"/>
  <c r="BS6" i="18" s="1"/>
  <c r="AZ20" i="18"/>
  <c r="BO20" i="18" s="1"/>
  <c r="BP20" i="18" s="1"/>
  <c r="BS20" i="18" s="1"/>
  <c r="AZ25" i="18"/>
  <c r="BO25" i="18" s="1"/>
  <c r="AZ18" i="18"/>
  <c r="BO18" i="18" s="1"/>
  <c r="BP18" i="18" s="1"/>
  <c r="BS18" i="18" s="1"/>
  <c r="AZ16" i="18"/>
  <c r="BO16" i="18" s="1"/>
  <c r="BP16" i="18" s="1"/>
  <c r="BS16" i="18" s="1"/>
  <c r="AZ14" i="18"/>
  <c r="BO14" i="18" s="1"/>
  <c r="BP14" i="18" s="1"/>
  <c r="BS14" i="18" s="1"/>
  <c r="AZ12" i="18"/>
  <c r="BO12" i="18" s="1"/>
  <c r="BP12" i="18" s="1"/>
  <c r="BS12" i="18" s="1"/>
  <c r="AZ9" i="18"/>
  <c r="BO9" i="18" s="1"/>
  <c r="BP9" i="18" s="1"/>
  <c r="BS9" i="18" s="1"/>
  <c r="AZ8" i="18"/>
  <c r="BO8" i="18" s="1"/>
  <c r="BP8" i="18" s="1"/>
  <c r="BS8" i="18" s="1"/>
  <c r="FV8" i="18" s="1"/>
  <c r="AZ28" i="18"/>
  <c r="BA28" i="18"/>
  <c r="BP4" i="18"/>
  <c r="BS4" i="18" s="1"/>
  <c r="FU28" i="18"/>
  <c r="NC24" i="17"/>
  <c r="ND21" i="17"/>
  <c r="DQ28" i="18"/>
  <c r="DR4" i="18" s="1"/>
  <c r="DS4" i="18"/>
  <c r="GM4" i="18" s="1"/>
  <c r="FX4" i="18"/>
  <c r="FX28" i="18" s="1"/>
  <c r="GM28" i="18" s="1"/>
  <c r="O10" i="15"/>
  <c r="R10" i="15" s="1"/>
  <c r="MZ10" i="15"/>
  <c r="N12" i="15"/>
  <c r="P10" i="15"/>
  <c r="Q10" i="15"/>
  <c r="X18" i="15"/>
  <c r="Y18" i="15"/>
  <c r="Z18" i="15"/>
  <c r="AZ24" i="16"/>
  <c r="BO24" i="16" s="1"/>
  <c r="BP24" i="16" s="1"/>
  <c r="BS24" i="16" s="1"/>
  <c r="FV24" i="16" s="1"/>
  <c r="AZ23" i="16"/>
  <c r="BO23" i="16" s="1"/>
  <c r="BP23" i="16" s="1"/>
  <c r="BS23" i="16" s="1"/>
  <c r="FV23" i="16" s="1"/>
  <c r="AZ8" i="16"/>
  <c r="BO8" i="16" s="1"/>
  <c r="BP8" i="16" s="1"/>
  <c r="BS8" i="16" s="1"/>
  <c r="FV8" i="16" s="1"/>
  <c r="AZ5" i="16"/>
  <c r="BO5" i="16" s="1"/>
  <c r="BP5" i="16" s="1"/>
  <c r="BS5" i="16" s="1"/>
  <c r="AZ26" i="16"/>
  <c r="BO26" i="16" s="1"/>
  <c r="BP26" i="16" s="1"/>
  <c r="BS26" i="16" s="1"/>
  <c r="AZ25" i="16"/>
  <c r="BO25" i="16" s="1"/>
  <c r="BP25" i="16" s="1"/>
  <c r="BS25" i="16" s="1"/>
  <c r="AZ22" i="16"/>
  <c r="BO22" i="16" s="1"/>
  <c r="BP22" i="16" s="1"/>
  <c r="BS22" i="16" s="1"/>
  <c r="AZ21" i="16"/>
  <c r="BO21" i="16" s="1"/>
  <c r="BP21" i="16" s="1"/>
  <c r="BS21" i="16" s="1"/>
  <c r="AZ20" i="16"/>
  <c r="BO20" i="16" s="1"/>
  <c r="BP20" i="16" s="1"/>
  <c r="BS20" i="16" s="1"/>
  <c r="AZ19" i="16"/>
  <c r="BO19" i="16" s="1"/>
  <c r="BP19" i="16" s="1"/>
  <c r="BS19" i="16" s="1"/>
  <c r="AZ18" i="16"/>
  <c r="BO18" i="16" s="1"/>
  <c r="BP18" i="16" s="1"/>
  <c r="BS18" i="16" s="1"/>
  <c r="AZ17" i="16"/>
  <c r="BO17" i="16" s="1"/>
  <c r="BP17" i="16" s="1"/>
  <c r="BS17" i="16" s="1"/>
  <c r="AZ16" i="16"/>
  <c r="BO16" i="16" s="1"/>
  <c r="BP16" i="16" s="1"/>
  <c r="BS16" i="16" s="1"/>
  <c r="AZ15" i="16"/>
  <c r="BO15" i="16" s="1"/>
  <c r="BP15" i="16" s="1"/>
  <c r="BS15" i="16" s="1"/>
  <c r="AZ14" i="16"/>
  <c r="BO14" i="16" s="1"/>
  <c r="BP14" i="16" s="1"/>
  <c r="BS14" i="16" s="1"/>
  <c r="AZ13" i="16"/>
  <c r="BO13" i="16" s="1"/>
  <c r="BP13" i="16" s="1"/>
  <c r="BS13" i="16" s="1"/>
  <c r="AZ12" i="16"/>
  <c r="BO12" i="16" s="1"/>
  <c r="BP12" i="16" s="1"/>
  <c r="BS12" i="16" s="1"/>
  <c r="AZ11" i="16"/>
  <c r="BO11" i="16" s="1"/>
  <c r="BP11" i="16" s="1"/>
  <c r="BS11" i="16" s="1"/>
  <c r="AZ27" i="16"/>
  <c r="BO27" i="16" s="1"/>
  <c r="BP27" i="16" s="1"/>
  <c r="BS27" i="16" s="1"/>
  <c r="FV27" i="16" s="1"/>
  <c r="AZ10" i="16"/>
  <c r="BO10" i="16" s="1"/>
  <c r="BP10" i="16" s="1"/>
  <c r="BS10" i="16" s="1"/>
  <c r="AZ9" i="16"/>
  <c r="BO9" i="16" s="1"/>
  <c r="BP9" i="16" s="1"/>
  <c r="BS9" i="16" s="1"/>
  <c r="AZ7" i="16"/>
  <c r="BO7" i="16" s="1"/>
  <c r="BP7" i="16" s="1"/>
  <c r="BS7" i="16" s="1"/>
  <c r="AZ6" i="16"/>
  <c r="BO6" i="16" s="1"/>
  <c r="BP6" i="16" s="1"/>
  <c r="BS6" i="16" s="1"/>
  <c r="AZ28" i="16"/>
  <c r="BA28" i="16"/>
  <c r="BO28" i="16"/>
  <c r="BP4" i="16"/>
  <c r="BS4" i="16" s="1"/>
  <c r="FU28" i="16"/>
  <c r="NC24" i="15"/>
  <c r="ND21" i="15"/>
  <c r="DR24" i="16"/>
  <c r="DR17" i="16"/>
  <c r="DR14" i="16"/>
  <c r="DR16" i="16"/>
  <c r="DR18" i="16"/>
  <c r="DR10" i="16"/>
  <c r="DR11" i="16"/>
  <c r="DR27" i="16"/>
  <c r="DR22" i="16"/>
  <c r="DR19" i="16"/>
  <c r="DR25" i="16"/>
  <c r="DR20" i="16"/>
  <c r="DR13" i="16"/>
  <c r="DR8" i="16"/>
  <c r="DR6" i="16"/>
  <c r="DR23" i="16"/>
  <c r="DR5" i="16"/>
  <c r="DR7" i="16"/>
  <c r="DR15" i="16"/>
  <c r="DR9" i="16"/>
  <c r="DR26" i="16"/>
  <c r="DR21" i="16"/>
  <c r="DR12" i="16"/>
  <c r="DS28" i="16"/>
  <c r="X18" i="13"/>
  <c r="Y18" i="13"/>
  <c r="Z18" i="13"/>
  <c r="AZ25" i="14"/>
  <c r="BO25" i="14" s="1"/>
  <c r="BP25" i="14" s="1"/>
  <c r="BS25" i="14" s="1"/>
  <c r="AZ21" i="14"/>
  <c r="BO21" i="14" s="1"/>
  <c r="BP21" i="14" s="1"/>
  <c r="BS21" i="14" s="1"/>
  <c r="AZ18" i="14"/>
  <c r="BO18" i="14" s="1"/>
  <c r="BP18" i="14" s="1"/>
  <c r="BS18" i="14" s="1"/>
  <c r="AZ17" i="14"/>
  <c r="BO17" i="14" s="1"/>
  <c r="BP17" i="14" s="1"/>
  <c r="BS17" i="14" s="1"/>
  <c r="AZ16" i="14"/>
  <c r="BO16" i="14" s="1"/>
  <c r="BP16" i="14" s="1"/>
  <c r="BS16" i="14" s="1"/>
  <c r="AZ15" i="14"/>
  <c r="BO15" i="14" s="1"/>
  <c r="BP15" i="14" s="1"/>
  <c r="BS15" i="14" s="1"/>
  <c r="AZ14" i="14"/>
  <c r="BO14" i="14" s="1"/>
  <c r="BP14" i="14" s="1"/>
  <c r="BS14" i="14" s="1"/>
  <c r="AZ5" i="14"/>
  <c r="BO5" i="14" s="1"/>
  <c r="BP5" i="14" s="1"/>
  <c r="BS5" i="14" s="1"/>
  <c r="AZ13" i="14"/>
  <c r="BO13" i="14" s="1"/>
  <c r="BP13" i="14" s="1"/>
  <c r="BS13" i="14" s="1"/>
  <c r="AZ12" i="14"/>
  <c r="BO12" i="14" s="1"/>
  <c r="BP12" i="14" s="1"/>
  <c r="BS12" i="14" s="1"/>
  <c r="AZ11" i="14"/>
  <c r="BO11" i="14" s="1"/>
  <c r="BP11" i="14" s="1"/>
  <c r="BS11" i="14" s="1"/>
  <c r="AZ10" i="14"/>
  <c r="BO10" i="14" s="1"/>
  <c r="BP10" i="14" s="1"/>
  <c r="BS10" i="14" s="1"/>
  <c r="AZ9" i="14"/>
  <c r="BO9" i="14" s="1"/>
  <c r="BP9" i="14" s="1"/>
  <c r="BS9" i="14" s="1"/>
  <c r="AZ8" i="14"/>
  <c r="BO8" i="14" s="1"/>
  <c r="BP8" i="14" s="1"/>
  <c r="BS8" i="14" s="1"/>
  <c r="FV8" i="14" s="1"/>
  <c r="AZ19" i="14"/>
  <c r="BO19" i="14" s="1"/>
  <c r="BP19" i="14" s="1"/>
  <c r="BS19" i="14" s="1"/>
  <c r="AZ7" i="14"/>
  <c r="BO7" i="14" s="1"/>
  <c r="BP7" i="14" s="1"/>
  <c r="BS7" i="14" s="1"/>
  <c r="AZ26" i="14"/>
  <c r="BO26" i="14" s="1"/>
  <c r="BP26" i="14" s="1"/>
  <c r="BS26" i="14" s="1"/>
  <c r="AZ27" i="14"/>
  <c r="BO27" i="14" s="1"/>
  <c r="BP27" i="14" s="1"/>
  <c r="BS27" i="14" s="1"/>
  <c r="FV27" i="14" s="1"/>
  <c r="AZ24" i="14"/>
  <c r="BO24" i="14" s="1"/>
  <c r="BP24" i="14" s="1"/>
  <c r="BS24" i="14" s="1"/>
  <c r="FV24" i="14" s="1"/>
  <c r="AZ23" i="14"/>
  <c r="BO23" i="14" s="1"/>
  <c r="BP23" i="14" s="1"/>
  <c r="BS23" i="14" s="1"/>
  <c r="FV23" i="14" s="1"/>
  <c r="AZ22" i="14"/>
  <c r="BO22" i="14" s="1"/>
  <c r="BP22" i="14" s="1"/>
  <c r="BS22" i="14" s="1"/>
  <c r="AZ20" i="14"/>
  <c r="BO20" i="14" s="1"/>
  <c r="BP20" i="14" s="1"/>
  <c r="BS20" i="14" s="1"/>
  <c r="AZ6" i="14"/>
  <c r="BO6" i="14" s="1"/>
  <c r="BP6" i="14" s="1"/>
  <c r="BS6" i="14" s="1"/>
  <c r="AZ28" i="14"/>
  <c r="BA28" i="14"/>
  <c r="BO28" i="14"/>
  <c r="BP4" i="14"/>
  <c r="BS4" i="14" s="1"/>
  <c r="FU28" i="14"/>
  <c r="DP4" i="14"/>
  <c r="DP21" i="14"/>
  <c r="DP24" i="14"/>
  <c r="DP25" i="14"/>
  <c r="DP26" i="14"/>
  <c r="DP27" i="14"/>
  <c r="DP13" i="14"/>
  <c r="DP16" i="14"/>
  <c r="DP20" i="14"/>
  <c r="DP22" i="14"/>
  <c r="DP23" i="14"/>
  <c r="DP10" i="14"/>
  <c r="DP11" i="14"/>
  <c r="DP5" i="14"/>
  <c r="DP7" i="14"/>
  <c r="DP8" i="14"/>
  <c r="DP9" i="14"/>
  <c r="DP12" i="14"/>
  <c r="DP14" i="14"/>
  <c r="DP15" i="14"/>
  <c r="DP17" i="14"/>
  <c r="DP18" i="14"/>
  <c r="DP19" i="14"/>
  <c r="DP6" i="14"/>
  <c r="DN18" i="14"/>
  <c r="DQ18" i="14" s="1"/>
  <c r="DN16" i="14"/>
  <c r="DQ16" i="14" s="1"/>
  <c r="DN24" i="14"/>
  <c r="DQ24" i="14" s="1"/>
  <c r="DN14" i="14"/>
  <c r="DQ14" i="14" s="1"/>
  <c r="DN25" i="14"/>
  <c r="DQ25" i="14" s="1"/>
  <c r="DN22" i="14"/>
  <c r="DQ22" i="14" s="1"/>
  <c r="DN27" i="14"/>
  <c r="DQ27" i="14" s="1"/>
  <c r="DN15" i="14"/>
  <c r="DQ15" i="14" s="1"/>
  <c r="DN7" i="14"/>
  <c r="DQ7" i="14" s="1"/>
  <c r="DN11" i="14"/>
  <c r="DQ11" i="14" s="1"/>
  <c r="DN6" i="14"/>
  <c r="DQ6" i="14" s="1"/>
  <c r="DN9" i="14"/>
  <c r="DQ9" i="14" s="1"/>
  <c r="DN26" i="14"/>
  <c r="DQ26" i="14" s="1"/>
  <c r="DN19" i="14"/>
  <c r="DQ19" i="14" s="1"/>
  <c r="DN17" i="14"/>
  <c r="DQ17" i="14" s="1"/>
  <c r="DN12" i="14"/>
  <c r="DN8" i="14"/>
  <c r="DN10" i="14"/>
  <c r="DN4" i="14"/>
  <c r="DN23" i="14"/>
  <c r="DN5" i="14"/>
  <c r="DN21" i="14"/>
  <c r="DN20" i="14"/>
  <c r="DN13" i="14"/>
  <c r="N10" i="13"/>
  <c r="KS27" i="13"/>
  <c r="LA26" i="13"/>
  <c r="LA27" i="13" s="1"/>
  <c r="FY28" i="14"/>
  <c r="GN28" i="14" s="1"/>
  <c r="ND19" i="13"/>
  <c r="NC21" i="13"/>
  <c r="KS26" i="5"/>
  <c r="LA7" i="5"/>
  <c r="MH7" i="5" s="1"/>
  <c r="P21" i="5"/>
  <c r="O21" i="5"/>
  <c r="R21" i="5" s="1"/>
  <c r="Q21" i="5"/>
  <c r="MZ21" i="5"/>
  <c r="NK15" i="5"/>
  <c r="NL15" i="5" s="1"/>
  <c r="NM15" i="5" s="1"/>
  <c r="NC15" i="5"/>
  <c r="NA15" i="5"/>
  <c r="FU25" i="8"/>
  <c r="BA25" i="8"/>
  <c r="GJ25" i="8" s="1"/>
  <c r="FU21" i="8"/>
  <c r="BA21" i="8"/>
  <c r="GJ21" i="8" s="1"/>
  <c r="FU26" i="8"/>
  <c r="BA26" i="8"/>
  <c r="GJ26" i="8" s="1"/>
  <c r="FU19" i="8"/>
  <c r="BA19" i="8"/>
  <c r="GJ19" i="8" s="1"/>
  <c r="FU14" i="8"/>
  <c r="BA14" i="8"/>
  <c r="GJ14" i="8" s="1"/>
  <c r="FU18" i="8"/>
  <c r="BA18" i="8"/>
  <c r="GJ18" i="8" s="1"/>
  <c r="AX28" i="8"/>
  <c r="AY4" i="8"/>
  <c r="BA22" i="8"/>
  <c r="GJ22" i="8" s="1"/>
  <c r="FU22" i="8"/>
  <c r="FU5" i="8"/>
  <c r="BA5" i="8"/>
  <c r="GJ5" i="8" s="1"/>
  <c r="BA9" i="8"/>
  <c r="GJ9" i="8" s="1"/>
  <c r="FU9" i="8"/>
  <c r="BA12" i="8"/>
  <c r="GJ12" i="8" s="1"/>
  <c r="FU12" i="8"/>
  <c r="FU13" i="8"/>
  <c r="BA13" i="8"/>
  <c r="GJ13" i="8" s="1"/>
  <c r="FU6" i="8"/>
  <c r="BA6" i="8"/>
  <c r="GJ6" i="8" s="1"/>
  <c r="BA20" i="8"/>
  <c r="GJ20" i="8" s="1"/>
  <c r="FU20" i="8"/>
  <c r="BA16" i="8"/>
  <c r="GJ16" i="8" s="1"/>
  <c r="FU16" i="8"/>
  <c r="BA15" i="8"/>
  <c r="GJ15" i="8" s="1"/>
  <c r="FU15" i="8"/>
  <c r="FU11" i="8"/>
  <c r="BA11" i="8"/>
  <c r="GJ11" i="8" s="1"/>
  <c r="FU10" i="8"/>
  <c r="BA10" i="8"/>
  <c r="GJ10" i="8" s="1"/>
  <c r="FU7" i="8"/>
  <c r="BA7" i="8"/>
  <c r="GJ7" i="8" s="1"/>
  <c r="BA17" i="8"/>
  <c r="GJ17" i="8" s="1"/>
  <c r="FU17" i="8"/>
  <c r="NK19" i="5"/>
  <c r="NL19" i="5" s="1"/>
  <c r="NM19" i="5" s="1"/>
  <c r="NC19" i="5"/>
  <c r="ND19" i="5" s="1"/>
  <c r="NA19" i="5"/>
  <c r="FY22" i="8"/>
  <c r="EB22" i="8"/>
  <c r="GN22" i="8" s="1"/>
  <c r="EB12" i="8"/>
  <c r="GN12" i="8" s="1"/>
  <c r="FY12" i="8"/>
  <c r="FY9" i="8"/>
  <c r="EB9" i="8"/>
  <c r="GN9" i="8" s="1"/>
  <c r="FY19" i="8"/>
  <c r="EB19" i="8"/>
  <c r="GN19" i="8" s="1"/>
  <c r="FY17" i="8"/>
  <c r="EB17" i="8"/>
  <c r="GN17" i="8" s="1"/>
  <c r="FY20" i="8"/>
  <c r="EB20" i="8"/>
  <c r="GN20" i="8" s="1"/>
  <c r="EB4" i="8"/>
  <c r="GN4" i="8" s="1"/>
  <c r="FY4" i="8"/>
  <c r="EB16" i="8"/>
  <c r="GN16" i="8" s="1"/>
  <c r="FY16" i="8"/>
  <c r="FY10" i="8"/>
  <c r="EB10" i="8"/>
  <c r="GN10" i="8" s="1"/>
  <c r="EB14" i="8"/>
  <c r="GN14" i="8" s="1"/>
  <c r="FY14" i="8"/>
  <c r="FY7" i="8"/>
  <c r="EB7" i="8"/>
  <c r="GN7" i="8" s="1"/>
  <c r="FY21" i="8"/>
  <c r="EB21" i="8"/>
  <c r="GN21" i="8" s="1"/>
  <c r="EB15" i="8"/>
  <c r="GN15" i="8" s="1"/>
  <c r="FY15" i="8"/>
  <c r="FY13" i="8"/>
  <c r="EB13" i="8"/>
  <c r="GN13" i="8" s="1"/>
  <c r="FY25" i="8"/>
  <c r="EB25" i="8"/>
  <c r="GN25" i="8" s="1"/>
  <c r="EB26" i="8"/>
  <c r="GN26" i="8" s="1"/>
  <c r="FY26" i="8"/>
  <c r="FY6" i="8"/>
  <c r="EB6" i="8"/>
  <c r="GN6" i="8" s="1"/>
  <c r="FY18" i="8"/>
  <c r="EB18" i="8"/>
  <c r="GN18" i="8" s="1"/>
  <c r="EB5" i="8"/>
  <c r="GN5" i="8" s="1"/>
  <c r="FY5" i="8"/>
  <c r="FY11" i="8"/>
  <c r="EB11" i="8"/>
  <c r="GN11" i="8" s="1"/>
  <c r="NK18" i="5"/>
  <c r="NL18" i="5" s="1"/>
  <c r="NM18" i="5" s="1"/>
  <c r="NC18" i="5"/>
  <c r="ND18" i="5" s="1"/>
  <c r="NA18" i="5"/>
  <c r="DL4" i="8"/>
  <c r="DL27" i="8"/>
  <c r="DL26" i="8"/>
  <c r="DL25" i="8"/>
  <c r="DL5" i="8"/>
  <c r="DL24" i="8"/>
  <c r="DL14" i="8"/>
  <c r="DL7" i="8"/>
  <c r="DL15" i="8"/>
  <c r="DL21" i="8"/>
  <c r="DL22" i="8"/>
  <c r="DL8" i="8"/>
  <c r="DL11" i="8"/>
  <c r="DL16" i="8"/>
  <c r="DL6" i="8"/>
  <c r="DL20" i="8"/>
  <c r="DL13" i="8"/>
  <c r="DL10" i="8"/>
  <c r="DL18" i="8"/>
  <c r="DL19" i="8"/>
  <c r="DL9" i="8"/>
  <c r="DL23" i="8"/>
  <c r="DL17" i="8"/>
  <c r="DL12" i="8"/>
  <c r="DB7" i="8"/>
  <c r="DN28" i="8" s="1"/>
  <c r="DC4" i="8"/>
  <c r="DC7" i="8" s="1"/>
  <c r="DP28" i="8" s="1"/>
  <c r="ET4" i="8"/>
  <c r="ET27" i="8"/>
  <c r="ET26" i="8"/>
  <c r="ET25" i="8"/>
  <c r="ET24" i="8"/>
  <c r="ET5" i="8"/>
  <c r="ET16" i="8"/>
  <c r="ET14" i="8"/>
  <c r="ET15" i="8"/>
  <c r="ET17" i="8"/>
  <c r="ET18" i="8"/>
  <c r="ET19" i="8"/>
  <c r="ET21" i="8"/>
  <c r="ET8" i="8"/>
  <c r="ET13" i="8"/>
  <c r="ET12" i="8"/>
  <c r="ET7" i="8"/>
  <c r="ET22" i="8"/>
  <c r="ET9" i="8"/>
  <c r="ET11" i="8"/>
  <c r="ET10" i="8"/>
  <c r="ET23" i="8"/>
  <c r="ET6" i="8"/>
  <c r="ET20" i="8"/>
  <c r="EV4" i="8"/>
  <c r="EV6" i="8"/>
  <c r="EV8" i="8"/>
  <c r="EV13" i="8"/>
  <c r="EV20" i="8"/>
  <c r="EV23" i="8"/>
  <c r="EV16" i="8"/>
  <c r="EV5" i="8"/>
  <c r="EV12" i="8"/>
  <c r="EV17" i="8"/>
  <c r="EV18" i="8"/>
  <c r="EV22" i="8"/>
  <c r="EV25" i="8"/>
  <c r="EV27" i="8"/>
  <c r="EV7" i="8"/>
  <c r="EV9" i="8"/>
  <c r="EV11" i="8"/>
  <c r="EV24" i="8"/>
  <c r="EV15" i="8"/>
  <c r="EV10" i="8"/>
  <c r="EV14" i="8"/>
  <c r="EV19" i="8"/>
  <c r="EV21" i="8"/>
  <c r="EV26" i="8"/>
  <c r="NK20" i="5"/>
  <c r="NL20" i="5" s="1"/>
  <c r="NM20" i="5" s="1"/>
  <c r="NA20" i="5"/>
  <c r="NC20" i="5"/>
  <c r="ND20" i="5" s="1"/>
  <c r="DS23" i="8"/>
  <c r="GM23" i="8" s="1"/>
  <c r="DS24" i="8"/>
  <c r="GM24" i="8" s="1"/>
  <c r="DR21" i="20" l="1"/>
  <c r="DR26" i="20"/>
  <c r="DR23" i="20"/>
  <c r="DR20" i="20"/>
  <c r="DR5" i="20"/>
  <c r="DR17" i="20"/>
  <c r="DR25" i="20"/>
  <c r="DR9" i="20"/>
  <c r="DR8" i="20"/>
  <c r="DR6" i="20"/>
  <c r="DR10" i="20"/>
  <c r="DR12" i="20"/>
  <c r="DR16" i="20"/>
  <c r="DR14" i="20"/>
  <c r="DR19" i="20"/>
  <c r="DR18" i="20"/>
  <c r="DR22" i="20"/>
  <c r="DR13" i="20"/>
  <c r="DR7" i="20"/>
  <c r="DR24" i="20"/>
  <c r="DR11" i="20"/>
  <c r="DR27" i="20"/>
  <c r="DR15" i="20"/>
  <c r="DS28" i="20"/>
  <c r="N22" i="19"/>
  <c r="MZ12" i="19"/>
  <c r="Q12" i="19"/>
  <c r="P12" i="19"/>
  <c r="O12" i="19"/>
  <c r="R12" i="19" s="1"/>
  <c r="MZ25" i="19"/>
  <c r="NA10" i="19"/>
  <c r="NC10" i="19"/>
  <c r="NK10" i="19"/>
  <c r="NL10" i="19" s="1"/>
  <c r="NM10" i="19" s="1"/>
  <c r="AA18" i="19"/>
  <c r="X19" i="19"/>
  <c r="X23" i="19" s="1"/>
  <c r="X20" i="19"/>
  <c r="X22" i="19"/>
  <c r="Y19" i="19"/>
  <c r="Y23" i="19" s="1"/>
  <c r="Y20" i="19"/>
  <c r="Y22" i="19"/>
  <c r="Z19" i="19"/>
  <c r="Z23" i="19" s="1"/>
  <c r="Z20" i="19"/>
  <c r="Z22" i="19"/>
  <c r="Y27" i="20"/>
  <c r="BT21" i="20"/>
  <c r="GK21" i="20" s="1"/>
  <c r="FV21" i="20"/>
  <c r="FV15" i="20"/>
  <c r="BT15" i="20"/>
  <c r="GK15" i="20" s="1"/>
  <c r="FV13" i="20"/>
  <c r="BT13" i="20"/>
  <c r="GK13" i="20" s="1"/>
  <c r="FV7" i="20"/>
  <c r="BT7" i="20"/>
  <c r="GK7" i="20" s="1"/>
  <c r="BT25" i="20"/>
  <c r="GK25" i="20" s="1"/>
  <c r="FV25" i="20"/>
  <c r="Y23" i="20"/>
  <c r="FV22" i="20"/>
  <c r="BT22" i="20"/>
  <c r="GK22" i="20" s="1"/>
  <c r="FV16" i="20"/>
  <c r="BT16" i="20"/>
  <c r="GK16" i="20" s="1"/>
  <c r="FV12" i="20"/>
  <c r="BT12" i="20"/>
  <c r="GK12" i="20" s="1"/>
  <c r="FV6" i="20"/>
  <c r="BT6" i="20"/>
  <c r="GK6" i="20" s="1"/>
  <c r="FV5" i="20"/>
  <c r="BT5" i="20"/>
  <c r="GK5" i="20" s="1"/>
  <c r="FV14" i="20"/>
  <c r="BT14" i="20"/>
  <c r="GK14" i="20" s="1"/>
  <c r="FV19" i="20"/>
  <c r="BT19" i="20"/>
  <c r="GK19" i="20" s="1"/>
  <c r="FV18" i="20"/>
  <c r="BT18" i="20"/>
  <c r="GK18" i="20" s="1"/>
  <c r="BT17" i="20"/>
  <c r="GK17" i="20" s="1"/>
  <c r="FV17" i="20"/>
  <c r="FV11" i="20"/>
  <c r="BT11" i="20"/>
  <c r="GK11" i="20" s="1"/>
  <c r="FV26" i="20"/>
  <c r="BT26" i="20"/>
  <c r="GK26" i="20" s="1"/>
  <c r="FV20" i="20"/>
  <c r="BT20" i="20"/>
  <c r="GK20" i="20" s="1"/>
  <c r="FV9" i="20"/>
  <c r="BT9" i="20"/>
  <c r="GK9" i="20" s="1"/>
  <c r="Y8" i="20"/>
  <c r="Y24" i="20"/>
  <c r="BT4" i="20"/>
  <c r="GK4" i="20" s="1"/>
  <c r="FV4" i="20"/>
  <c r="GJ28" i="20"/>
  <c r="BP10" i="20"/>
  <c r="BS10" i="20" s="1"/>
  <c r="BO28" i="20"/>
  <c r="N22" i="17"/>
  <c r="MZ12" i="17"/>
  <c r="Q12" i="17"/>
  <c r="P12" i="17"/>
  <c r="O12" i="17"/>
  <c r="R12" i="17" s="1"/>
  <c r="MZ25" i="17"/>
  <c r="NA10" i="17"/>
  <c r="NC10" i="17"/>
  <c r="NK10" i="17"/>
  <c r="NL10" i="17" s="1"/>
  <c r="NM10" i="17" s="1"/>
  <c r="AA18" i="17"/>
  <c r="X19" i="17"/>
  <c r="X23" i="17" s="1"/>
  <c r="X20" i="17"/>
  <c r="X22" i="17"/>
  <c r="Y19" i="17"/>
  <c r="Y23" i="17" s="1"/>
  <c r="Y20" i="17"/>
  <c r="Y22" i="17"/>
  <c r="Z19" i="17"/>
  <c r="Z23" i="17" s="1"/>
  <c r="Z20" i="17"/>
  <c r="Z22" i="17"/>
  <c r="Y27" i="18"/>
  <c r="BT26" i="18"/>
  <c r="GK26" i="18" s="1"/>
  <c r="FV26" i="18"/>
  <c r="Y24" i="18"/>
  <c r="FV7" i="18"/>
  <c r="BT7" i="18"/>
  <c r="GK7" i="18" s="1"/>
  <c r="BT19" i="18"/>
  <c r="GK19" i="18" s="1"/>
  <c r="FV19" i="18"/>
  <c r="BT17" i="18"/>
  <c r="GK17" i="18" s="1"/>
  <c r="FV17" i="18"/>
  <c r="BT15" i="18"/>
  <c r="GK15" i="18" s="1"/>
  <c r="FV15" i="18"/>
  <c r="BT13" i="18"/>
  <c r="GK13" i="18" s="1"/>
  <c r="FV13" i="18"/>
  <c r="BT11" i="18"/>
  <c r="GK11" i="18" s="1"/>
  <c r="FV11" i="18"/>
  <c r="BT10" i="18"/>
  <c r="GK10" i="18" s="1"/>
  <c r="FV10" i="18"/>
  <c r="BT5" i="18"/>
  <c r="GK5" i="18" s="1"/>
  <c r="FV5" i="18"/>
  <c r="Y23" i="18"/>
  <c r="BT21" i="18"/>
  <c r="GK21" i="18" s="1"/>
  <c r="FV21" i="18"/>
  <c r="FV22" i="18"/>
  <c r="BT22" i="18"/>
  <c r="GK22" i="18" s="1"/>
  <c r="FV6" i="18"/>
  <c r="BT6" i="18"/>
  <c r="GK6" i="18" s="1"/>
  <c r="BT20" i="18"/>
  <c r="GK20" i="18" s="1"/>
  <c r="FV20" i="18"/>
  <c r="BT18" i="18"/>
  <c r="GK18" i="18" s="1"/>
  <c r="FV18" i="18"/>
  <c r="BT16" i="18"/>
  <c r="GK16" i="18" s="1"/>
  <c r="FV16" i="18"/>
  <c r="FV14" i="18"/>
  <c r="BT14" i="18"/>
  <c r="GK14" i="18" s="1"/>
  <c r="FV12" i="18"/>
  <c r="BT12" i="18"/>
  <c r="GK12" i="18" s="1"/>
  <c r="BT9" i="18"/>
  <c r="GK9" i="18" s="1"/>
  <c r="FV9" i="18"/>
  <c r="Y8" i="18"/>
  <c r="BT4" i="18"/>
  <c r="GK4" i="18" s="1"/>
  <c r="FV4" i="18"/>
  <c r="GJ28" i="18"/>
  <c r="DR13" i="18"/>
  <c r="DR7" i="18"/>
  <c r="DR16" i="18"/>
  <c r="DR14" i="18"/>
  <c r="DR17" i="18"/>
  <c r="DR5" i="18"/>
  <c r="DR22" i="18"/>
  <c r="DR6" i="18"/>
  <c r="DR15" i="18"/>
  <c r="DR10" i="18"/>
  <c r="DR18" i="18"/>
  <c r="DR24" i="18"/>
  <c r="DR23" i="18"/>
  <c r="DR8" i="18"/>
  <c r="DR25" i="18"/>
  <c r="DR27" i="18"/>
  <c r="DR20" i="18"/>
  <c r="DR26" i="18"/>
  <c r="DR19" i="18"/>
  <c r="DR12" i="18"/>
  <c r="DR9" i="18"/>
  <c r="DR21" i="18"/>
  <c r="DR11" i="18"/>
  <c r="DS28" i="18"/>
  <c r="BP25" i="18"/>
  <c r="BS25" i="18" s="1"/>
  <c r="BO28" i="18"/>
  <c r="MZ25" i="15"/>
  <c r="NA10" i="15"/>
  <c r="NC10" i="15"/>
  <c r="NK10" i="15"/>
  <c r="NL10" i="15" s="1"/>
  <c r="NM10" i="15" s="1"/>
  <c r="O12" i="15"/>
  <c r="R12" i="15" s="1"/>
  <c r="P12" i="15"/>
  <c r="Q12" i="15"/>
  <c r="MZ12" i="15"/>
  <c r="N22" i="15"/>
  <c r="AA18" i="15"/>
  <c r="X19" i="15"/>
  <c r="X23" i="15" s="1"/>
  <c r="X20" i="15"/>
  <c r="X22" i="15"/>
  <c r="Y19" i="15"/>
  <c r="Y23" i="15" s="1"/>
  <c r="Y20" i="15"/>
  <c r="Y22" i="15"/>
  <c r="Z19" i="15"/>
  <c r="Z23" i="15" s="1"/>
  <c r="Z20" i="15"/>
  <c r="Z22" i="15"/>
  <c r="Y24" i="16"/>
  <c r="Y23" i="16"/>
  <c r="Y8" i="16"/>
  <c r="BT5" i="16"/>
  <c r="GK5" i="16" s="1"/>
  <c r="FV5" i="16"/>
  <c r="BT26" i="16"/>
  <c r="GK26" i="16" s="1"/>
  <c r="FV26" i="16"/>
  <c r="FV25" i="16"/>
  <c r="BT25" i="16"/>
  <c r="GK25" i="16" s="1"/>
  <c r="BT22" i="16"/>
  <c r="GK22" i="16" s="1"/>
  <c r="FV22" i="16"/>
  <c r="FV21" i="16"/>
  <c r="BT21" i="16"/>
  <c r="GK21" i="16" s="1"/>
  <c r="FV20" i="16"/>
  <c r="BT20" i="16"/>
  <c r="GK20" i="16" s="1"/>
  <c r="FV19" i="16"/>
  <c r="BT19" i="16"/>
  <c r="GK19" i="16" s="1"/>
  <c r="FV18" i="16"/>
  <c r="BT18" i="16"/>
  <c r="GK18" i="16" s="1"/>
  <c r="FV17" i="16"/>
  <c r="BT17" i="16"/>
  <c r="GK17" i="16" s="1"/>
  <c r="FV16" i="16"/>
  <c r="BT16" i="16"/>
  <c r="GK16" i="16" s="1"/>
  <c r="FV15" i="16"/>
  <c r="BT15" i="16"/>
  <c r="GK15" i="16" s="1"/>
  <c r="FV14" i="16"/>
  <c r="BT14" i="16"/>
  <c r="GK14" i="16" s="1"/>
  <c r="FV13" i="16"/>
  <c r="BT13" i="16"/>
  <c r="GK13" i="16" s="1"/>
  <c r="FV12" i="16"/>
  <c r="BT12" i="16"/>
  <c r="GK12" i="16" s="1"/>
  <c r="FV11" i="16"/>
  <c r="BT11" i="16"/>
  <c r="GK11" i="16" s="1"/>
  <c r="Y27" i="16"/>
  <c r="FV10" i="16"/>
  <c r="BT10" i="16"/>
  <c r="GK10" i="16" s="1"/>
  <c r="FV9" i="16"/>
  <c r="BT9" i="16"/>
  <c r="GK9" i="16" s="1"/>
  <c r="FV7" i="16"/>
  <c r="BT7" i="16"/>
  <c r="GK7" i="16" s="1"/>
  <c r="FV6" i="16"/>
  <c r="BT6" i="16"/>
  <c r="GK6" i="16" s="1"/>
  <c r="BT4" i="16"/>
  <c r="GK4" i="16" s="1"/>
  <c r="FV4" i="16"/>
  <c r="GJ28" i="16"/>
  <c r="DR28" i="16"/>
  <c r="AA18" i="13"/>
  <c r="X19" i="13"/>
  <c r="X23" i="13" s="1"/>
  <c r="X20" i="13"/>
  <c r="X22" i="13"/>
  <c r="Y19" i="13"/>
  <c r="Y23" i="13" s="1"/>
  <c r="Y20" i="13"/>
  <c r="Y22" i="13"/>
  <c r="Z19" i="13"/>
  <c r="Z23" i="13" s="1"/>
  <c r="Z20" i="13"/>
  <c r="Z22" i="13"/>
  <c r="BT25" i="14"/>
  <c r="GK25" i="14" s="1"/>
  <c r="FV25" i="14"/>
  <c r="FV21" i="14"/>
  <c r="BT21" i="14"/>
  <c r="GK21" i="14" s="1"/>
  <c r="BT18" i="14"/>
  <c r="GK18" i="14" s="1"/>
  <c r="FV18" i="14"/>
  <c r="BT17" i="14"/>
  <c r="GK17" i="14" s="1"/>
  <c r="FV17" i="14"/>
  <c r="BT16" i="14"/>
  <c r="GK16" i="14" s="1"/>
  <c r="FV16" i="14"/>
  <c r="BT15" i="14"/>
  <c r="GK15" i="14" s="1"/>
  <c r="FV15" i="14"/>
  <c r="BT14" i="14"/>
  <c r="GK14" i="14" s="1"/>
  <c r="FV14" i="14"/>
  <c r="BT5" i="14"/>
  <c r="GK5" i="14" s="1"/>
  <c r="FV5" i="14"/>
  <c r="BT13" i="14"/>
  <c r="GK13" i="14" s="1"/>
  <c r="FV13" i="14"/>
  <c r="BT12" i="14"/>
  <c r="GK12" i="14" s="1"/>
  <c r="FV12" i="14"/>
  <c r="BT11" i="14"/>
  <c r="GK11" i="14" s="1"/>
  <c r="FV11" i="14"/>
  <c r="BT10" i="14"/>
  <c r="GK10" i="14" s="1"/>
  <c r="FV10" i="14"/>
  <c r="BT9" i="14"/>
  <c r="GK9" i="14" s="1"/>
  <c r="FV9" i="14"/>
  <c r="BT19" i="14"/>
  <c r="GK19" i="14" s="1"/>
  <c r="FV19" i="14"/>
  <c r="BT7" i="14"/>
  <c r="GK7" i="14" s="1"/>
  <c r="FV7" i="14"/>
  <c r="BT26" i="14"/>
  <c r="GK26" i="14" s="1"/>
  <c r="FV26" i="14"/>
  <c r="Y27" i="14"/>
  <c r="BT22" i="14"/>
  <c r="GK22" i="14" s="1"/>
  <c r="FV22" i="14"/>
  <c r="BT20" i="14"/>
  <c r="GK20" i="14" s="1"/>
  <c r="FV20" i="14"/>
  <c r="BT6" i="14"/>
  <c r="GK6" i="14" s="1"/>
  <c r="FV6" i="14"/>
  <c r="BT4" i="14"/>
  <c r="GK4" i="14" s="1"/>
  <c r="FV4" i="14"/>
  <c r="GJ28" i="14"/>
  <c r="FX18" i="14"/>
  <c r="DS18" i="14"/>
  <c r="GM18" i="14" s="1"/>
  <c r="DS16" i="14"/>
  <c r="GM16" i="14" s="1"/>
  <c r="FX16" i="14"/>
  <c r="FX24" i="14"/>
  <c r="FX14" i="14"/>
  <c r="DS14" i="14"/>
  <c r="GM14" i="14" s="1"/>
  <c r="FX25" i="14"/>
  <c r="DS25" i="14"/>
  <c r="GM25" i="14" s="1"/>
  <c r="DS22" i="14"/>
  <c r="GM22" i="14" s="1"/>
  <c r="FX22" i="14"/>
  <c r="FX27" i="14"/>
  <c r="FX15" i="14"/>
  <c r="DS15" i="14"/>
  <c r="GM15" i="14" s="1"/>
  <c r="FX7" i="14"/>
  <c r="DS7" i="14"/>
  <c r="GM7" i="14" s="1"/>
  <c r="FX11" i="14"/>
  <c r="DS11" i="14"/>
  <c r="GM11" i="14" s="1"/>
  <c r="FX6" i="14"/>
  <c r="DS6" i="14"/>
  <c r="GM6" i="14" s="1"/>
  <c r="DS9" i="14"/>
  <c r="GM9" i="14" s="1"/>
  <c r="FX9" i="14"/>
  <c r="FX26" i="14"/>
  <c r="DS26" i="14"/>
  <c r="GM26" i="14" s="1"/>
  <c r="FX19" i="14"/>
  <c r="DS19" i="14"/>
  <c r="GM19" i="14" s="1"/>
  <c r="FX17" i="14"/>
  <c r="DS17" i="14"/>
  <c r="GM17" i="14" s="1"/>
  <c r="O10" i="13"/>
  <c r="R10" i="13" s="1"/>
  <c r="P10" i="13"/>
  <c r="Q10" i="13"/>
  <c r="N12" i="13"/>
  <c r="MZ10" i="13"/>
  <c r="ND21" i="13"/>
  <c r="NC24" i="13"/>
  <c r="DQ12" i="14"/>
  <c r="DQ8" i="14"/>
  <c r="DQ10" i="14"/>
  <c r="DQ4" i="14"/>
  <c r="DQ23" i="14"/>
  <c r="DQ5" i="14"/>
  <c r="DQ21" i="14"/>
  <c r="DQ20" i="14"/>
  <c r="DQ13" i="14"/>
  <c r="KS27" i="5"/>
  <c r="N10" i="5"/>
  <c r="LA26" i="5"/>
  <c r="LA27" i="5" s="1"/>
  <c r="MH26" i="5"/>
  <c r="MN26" i="5" s="1"/>
  <c r="MN27" i="5" s="1"/>
  <c r="MN7" i="5"/>
  <c r="NK21" i="5"/>
  <c r="NL21" i="5" s="1"/>
  <c r="NM21" i="5" s="1"/>
  <c r="MZ24" i="5"/>
  <c r="NK24" i="5" s="1"/>
  <c r="NL24" i="5" s="1"/>
  <c r="NM24" i="5" s="1"/>
  <c r="NA21" i="5"/>
  <c r="ND15" i="5"/>
  <c r="NC21" i="5"/>
  <c r="BA4" i="8"/>
  <c r="GJ4" i="8" s="1"/>
  <c r="FU4" i="8"/>
  <c r="FU28" i="8" s="1"/>
  <c r="GJ28" i="8" s="1"/>
  <c r="AY28" i="8"/>
  <c r="DN27" i="8"/>
  <c r="DN12" i="8"/>
  <c r="DN4" i="8"/>
  <c r="DN24" i="8"/>
  <c r="DN17" i="8"/>
  <c r="DN5" i="8"/>
  <c r="DN14" i="8"/>
  <c r="DN18" i="8"/>
  <c r="DN21" i="8"/>
  <c r="DN22" i="8"/>
  <c r="DN7" i="8"/>
  <c r="DN20" i="8"/>
  <c r="DN11" i="8"/>
  <c r="DN13" i="8"/>
  <c r="DN23" i="8"/>
  <c r="DN26" i="8"/>
  <c r="DN9" i="8"/>
  <c r="DN16" i="8"/>
  <c r="DN6" i="8"/>
  <c r="DN8" i="8"/>
  <c r="DN10" i="8"/>
  <c r="DN19" i="8"/>
  <c r="DN25" i="8"/>
  <c r="DN15" i="8"/>
  <c r="DP27" i="8"/>
  <c r="DP4" i="8"/>
  <c r="DP7" i="8"/>
  <c r="DP25" i="8"/>
  <c r="DP5" i="8"/>
  <c r="DP9" i="8"/>
  <c r="DP10" i="8"/>
  <c r="DP21" i="8"/>
  <c r="DP23" i="8"/>
  <c r="DP6" i="8"/>
  <c r="DP8" i="8"/>
  <c r="DP15" i="8"/>
  <c r="DP19" i="8"/>
  <c r="DP11" i="8"/>
  <c r="DP13" i="8"/>
  <c r="DP17" i="8"/>
  <c r="DP20" i="8"/>
  <c r="DP22" i="8"/>
  <c r="DP24" i="8"/>
  <c r="DP26" i="8"/>
  <c r="DP12" i="8"/>
  <c r="DP14" i="8"/>
  <c r="DP16" i="8"/>
  <c r="DP18" i="8"/>
  <c r="FY28" i="8"/>
  <c r="GN28" i="8" s="1"/>
  <c r="BT27" i="8"/>
  <c r="GK27" i="8" s="1"/>
  <c r="BT24" i="8"/>
  <c r="GK24" i="8" s="1"/>
  <c r="BT23" i="8"/>
  <c r="GK23" i="8" s="1"/>
  <c r="O22" i="19" l="1"/>
  <c r="R22" i="19" s="1"/>
  <c r="P22" i="19"/>
  <c r="Q22" i="19"/>
  <c r="NA12" i="19"/>
  <c r="NK12" i="19"/>
  <c r="NL12" i="19" s="1"/>
  <c r="NM12" i="19" s="1"/>
  <c r="D13" i="20"/>
  <c r="MZ28" i="19"/>
  <c r="NK25" i="19"/>
  <c r="NA25" i="19"/>
  <c r="NC25" i="19"/>
  <c r="ND10" i="19"/>
  <c r="AA19" i="19"/>
  <c r="AA23" i="19" s="1"/>
  <c r="AA20" i="19"/>
  <c r="AA22" i="19"/>
  <c r="Y21" i="20"/>
  <c r="Y15" i="20"/>
  <c r="Y13" i="20"/>
  <c r="Y7" i="20"/>
  <c r="Y25" i="20"/>
  <c r="Y22" i="20"/>
  <c r="Y16" i="20"/>
  <c r="Y12" i="20"/>
  <c r="Y6" i="20"/>
  <c r="Y5" i="20"/>
  <c r="Y14" i="20"/>
  <c r="Y19" i="20"/>
  <c r="Y18" i="20"/>
  <c r="Y17" i="20"/>
  <c r="Y11" i="20"/>
  <c r="Y26" i="20"/>
  <c r="Y20" i="20"/>
  <c r="Y9" i="20"/>
  <c r="Y4" i="20"/>
  <c r="BT10" i="20"/>
  <c r="GK10" i="20" s="1"/>
  <c r="FV10" i="20"/>
  <c r="FV28" i="20" s="1"/>
  <c r="DR28" i="20"/>
  <c r="O22" i="17"/>
  <c r="R22" i="17" s="1"/>
  <c r="P22" i="17"/>
  <c r="Q22" i="17"/>
  <c r="NA12" i="17"/>
  <c r="NK12" i="17"/>
  <c r="NL12" i="17" s="1"/>
  <c r="NM12" i="17" s="1"/>
  <c r="D13" i="18"/>
  <c r="MZ28" i="17"/>
  <c r="NK25" i="17"/>
  <c r="NA25" i="17"/>
  <c r="NC25" i="17"/>
  <c r="ND10" i="17"/>
  <c r="AA19" i="17"/>
  <c r="AA23" i="17" s="1"/>
  <c r="AA20" i="17"/>
  <c r="AA22" i="17"/>
  <c r="Y26" i="18"/>
  <c r="Y7" i="18"/>
  <c r="Y19" i="18"/>
  <c r="Y17" i="18"/>
  <c r="Y15" i="18"/>
  <c r="Y13" i="18"/>
  <c r="Y11" i="18"/>
  <c r="Y10" i="18"/>
  <c r="Y5" i="18"/>
  <c r="Y21" i="18"/>
  <c r="Y22" i="18"/>
  <c r="Y6" i="18"/>
  <c r="Y20" i="18"/>
  <c r="Y18" i="18"/>
  <c r="Y16" i="18"/>
  <c r="Y14" i="18"/>
  <c r="Y12" i="18"/>
  <c r="Y9" i="18"/>
  <c r="Y4" i="18"/>
  <c r="FV25" i="18"/>
  <c r="FV28" i="18" s="1"/>
  <c r="BT25" i="18"/>
  <c r="GK25" i="18" s="1"/>
  <c r="DR28" i="18"/>
  <c r="D13" i="16"/>
  <c r="NA25" i="15"/>
  <c r="NK25" i="15"/>
  <c r="MZ28" i="15"/>
  <c r="NC25" i="15"/>
  <c r="ND10" i="15"/>
  <c r="NA12" i="15"/>
  <c r="NK12" i="15"/>
  <c r="NL12" i="15" s="1"/>
  <c r="NM12" i="15" s="1"/>
  <c r="O22" i="15"/>
  <c r="R22" i="15" s="1"/>
  <c r="P22" i="15"/>
  <c r="Q22" i="15"/>
  <c r="AA19" i="15"/>
  <c r="AA23" i="15" s="1"/>
  <c r="AA20" i="15"/>
  <c r="AA22" i="15"/>
  <c r="Y5" i="16"/>
  <c r="Y26" i="16"/>
  <c r="Y25" i="16"/>
  <c r="Y22" i="16"/>
  <c r="Y21" i="16"/>
  <c r="Y20" i="16"/>
  <c r="Y19" i="16"/>
  <c r="Y18" i="16"/>
  <c r="Y17" i="16"/>
  <c r="Y16" i="16"/>
  <c r="Y15" i="16"/>
  <c r="Y14" i="16"/>
  <c r="Y13" i="16"/>
  <c r="Y12" i="16"/>
  <c r="Y11" i="16"/>
  <c r="Y10" i="16"/>
  <c r="Y9" i="16"/>
  <c r="Y7" i="16"/>
  <c r="Y6" i="16"/>
  <c r="Y4" i="16"/>
  <c r="Y28" i="16" s="1"/>
  <c r="Y29" i="16" s="1"/>
  <c r="FV28" i="16"/>
  <c r="AA19" i="13"/>
  <c r="AA23" i="13" s="1"/>
  <c r="AA20" i="13"/>
  <c r="AA22" i="13"/>
  <c r="Y25" i="14"/>
  <c r="Y18" i="14"/>
  <c r="Y17" i="14"/>
  <c r="Y16" i="14"/>
  <c r="Y15" i="14"/>
  <c r="Y14" i="14"/>
  <c r="Y11" i="14"/>
  <c r="Y9" i="14"/>
  <c r="Y19" i="14"/>
  <c r="Y7" i="14"/>
  <c r="Y26" i="14"/>
  <c r="Y22" i="14"/>
  <c r="Y6" i="14"/>
  <c r="FV28" i="14"/>
  <c r="P12" i="13"/>
  <c r="Q12" i="13"/>
  <c r="MZ12" i="13"/>
  <c r="O12" i="13"/>
  <c r="R12" i="13" s="1"/>
  <c r="N22" i="13"/>
  <c r="MZ25" i="13"/>
  <c r="NA10" i="13"/>
  <c r="NC10" i="13"/>
  <c r="NK10" i="13"/>
  <c r="NL10" i="13" s="1"/>
  <c r="NM10" i="13" s="1"/>
  <c r="FX12" i="14"/>
  <c r="DS12" i="14"/>
  <c r="GM12" i="14" s="1"/>
  <c r="FX8" i="14"/>
  <c r="DS10" i="14"/>
  <c r="GM10" i="14" s="1"/>
  <c r="FX10" i="14"/>
  <c r="DS4" i="14"/>
  <c r="GM4" i="14" s="1"/>
  <c r="FX4" i="14"/>
  <c r="DQ28" i="14"/>
  <c r="FX23" i="14"/>
  <c r="DR5" i="14"/>
  <c r="DS5" i="14"/>
  <c r="GM5" i="14" s="1"/>
  <c r="FX5" i="14"/>
  <c r="DR21" i="14"/>
  <c r="FX21" i="14"/>
  <c r="DS21" i="14"/>
  <c r="GM21" i="14" s="1"/>
  <c r="DR20" i="14"/>
  <c r="DS20" i="14"/>
  <c r="GM20" i="14" s="1"/>
  <c r="FX20" i="14"/>
  <c r="DR13" i="14"/>
  <c r="FX13" i="14"/>
  <c r="DS13" i="14"/>
  <c r="GM13" i="14" s="1"/>
  <c r="Y24" i="14"/>
  <c r="DQ18" i="8"/>
  <c r="DQ27" i="8"/>
  <c r="FX27" i="8" s="1"/>
  <c r="DQ4" i="8"/>
  <c r="DQ17" i="8"/>
  <c r="DQ14" i="8"/>
  <c r="DQ12" i="8"/>
  <c r="DQ24" i="8"/>
  <c r="FX24" i="8" s="1"/>
  <c r="DQ5" i="8"/>
  <c r="DQ21" i="8"/>
  <c r="DQ22" i="8"/>
  <c r="DQ7" i="8"/>
  <c r="MZ10" i="5"/>
  <c r="P10" i="5"/>
  <c r="N12" i="5"/>
  <c r="O10" i="5"/>
  <c r="R10" i="5" s="1"/>
  <c r="Q10" i="5"/>
  <c r="Z18" i="5"/>
  <c r="X18" i="5"/>
  <c r="Y18" i="5"/>
  <c r="ND21" i="5"/>
  <c r="NC24" i="5"/>
  <c r="AZ14" i="8"/>
  <c r="BO14" i="8" s="1"/>
  <c r="BP14" i="8" s="1"/>
  <c r="BS14" i="8" s="1"/>
  <c r="AZ19" i="8"/>
  <c r="BO19" i="8" s="1"/>
  <c r="BP19" i="8" s="1"/>
  <c r="BS19" i="8" s="1"/>
  <c r="AZ25" i="8"/>
  <c r="BO25" i="8" s="1"/>
  <c r="BP25" i="8" s="1"/>
  <c r="BS25" i="8" s="1"/>
  <c r="AZ27" i="8"/>
  <c r="BO27" i="8" s="1"/>
  <c r="BP27" i="8" s="1"/>
  <c r="BS27" i="8" s="1"/>
  <c r="FV27" i="8" s="1"/>
  <c r="BA28" i="8"/>
  <c r="AZ28" i="8"/>
  <c r="AZ12" i="8"/>
  <c r="BO12" i="8" s="1"/>
  <c r="BP12" i="8" s="1"/>
  <c r="BS12" i="8" s="1"/>
  <c r="AZ8" i="8"/>
  <c r="BO8" i="8" s="1"/>
  <c r="BP8" i="8" s="1"/>
  <c r="BS8" i="8" s="1"/>
  <c r="FV8" i="8" s="1"/>
  <c r="AZ5" i="8"/>
  <c r="BO5" i="8" s="1"/>
  <c r="BP5" i="8" s="1"/>
  <c r="BS5" i="8" s="1"/>
  <c r="AZ16" i="8"/>
  <c r="BO16" i="8" s="1"/>
  <c r="BP16" i="8" s="1"/>
  <c r="BS16" i="8" s="1"/>
  <c r="AZ20" i="8"/>
  <c r="BO20" i="8" s="1"/>
  <c r="BP20" i="8" s="1"/>
  <c r="BS20" i="8" s="1"/>
  <c r="AZ23" i="8"/>
  <c r="BO23" i="8" s="1"/>
  <c r="BP23" i="8" s="1"/>
  <c r="BS23" i="8" s="1"/>
  <c r="FV23" i="8" s="1"/>
  <c r="AZ6" i="8"/>
  <c r="BO6" i="8" s="1"/>
  <c r="BP6" i="8" s="1"/>
  <c r="BS6" i="8" s="1"/>
  <c r="AZ13" i="8"/>
  <c r="BO13" i="8" s="1"/>
  <c r="BP13" i="8" s="1"/>
  <c r="BS13" i="8" s="1"/>
  <c r="AZ11" i="8"/>
  <c r="BO11" i="8" s="1"/>
  <c r="BP11" i="8" s="1"/>
  <c r="BS11" i="8" s="1"/>
  <c r="AZ15" i="8"/>
  <c r="BO15" i="8" s="1"/>
  <c r="BP15" i="8" s="1"/>
  <c r="BS15" i="8" s="1"/>
  <c r="AZ21" i="8"/>
  <c r="BO21" i="8" s="1"/>
  <c r="BP21" i="8" s="1"/>
  <c r="BS21" i="8" s="1"/>
  <c r="AZ22" i="8"/>
  <c r="BO22" i="8" s="1"/>
  <c r="BP22" i="8" s="1"/>
  <c r="BS22" i="8" s="1"/>
  <c r="AZ26" i="8"/>
  <c r="BO26" i="8" s="1"/>
  <c r="BP26" i="8" s="1"/>
  <c r="BS26" i="8" s="1"/>
  <c r="AZ18" i="8"/>
  <c r="BO18" i="8" s="1"/>
  <c r="BP18" i="8" s="1"/>
  <c r="BS18" i="8" s="1"/>
  <c r="AZ7" i="8"/>
  <c r="BO7" i="8" s="1"/>
  <c r="BP7" i="8" s="1"/>
  <c r="BS7" i="8" s="1"/>
  <c r="AZ10" i="8"/>
  <c r="BO10" i="8" s="1"/>
  <c r="BP10" i="8" s="1"/>
  <c r="BS10" i="8" s="1"/>
  <c r="AZ17" i="8"/>
  <c r="BO17" i="8" s="1"/>
  <c r="BP17" i="8" s="1"/>
  <c r="BS17" i="8" s="1"/>
  <c r="AZ24" i="8"/>
  <c r="BO24" i="8" s="1"/>
  <c r="BP24" i="8" s="1"/>
  <c r="BS24" i="8" s="1"/>
  <c r="FV24" i="8" s="1"/>
  <c r="AZ9" i="8"/>
  <c r="BO9" i="8" s="1"/>
  <c r="BP9" i="8" s="1"/>
  <c r="BS9" i="8" s="1"/>
  <c r="AZ4" i="8"/>
  <c r="BO4" i="8" s="1"/>
  <c r="DQ20" i="8"/>
  <c r="DQ11" i="8"/>
  <c r="DQ13" i="8"/>
  <c r="DQ23" i="8"/>
  <c r="DQ26" i="8"/>
  <c r="DQ9" i="8"/>
  <c r="DQ16" i="8"/>
  <c r="DQ6" i="8"/>
  <c r="DQ8" i="8"/>
  <c r="DQ10" i="8"/>
  <c r="DQ19" i="8"/>
  <c r="DQ25" i="8"/>
  <c r="DQ15" i="8"/>
  <c r="GC27" i="8"/>
  <c r="GQ27" i="8" s="1"/>
  <c r="GC24" i="8"/>
  <c r="GQ24" i="8" s="1"/>
  <c r="GC23" i="8"/>
  <c r="GQ23" i="8" s="1"/>
  <c r="HB23" i="8"/>
  <c r="HC23" i="8" s="1"/>
  <c r="IS23" i="8" s="1"/>
  <c r="IY23" i="8" s="1"/>
  <c r="NA28" i="19" l="1"/>
  <c r="MZ30" i="19"/>
  <c r="MZ48" i="19"/>
  <c r="NL25" i="19"/>
  <c r="NM25" i="19" s="1"/>
  <c r="NK28" i="19"/>
  <c r="NL28" i="19" s="1"/>
  <c r="NM28" i="19" s="1"/>
  <c r="NC28" i="19"/>
  <c r="ND25" i="19"/>
  <c r="Z23" i="20"/>
  <c r="Z27" i="20"/>
  <c r="Z24" i="20"/>
  <c r="Z8" i="20"/>
  <c r="GK28" i="20"/>
  <c r="Z10" i="20"/>
  <c r="Y10" i="20"/>
  <c r="Y28" i="20" s="1"/>
  <c r="Y29" i="20" s="1"/>
  <c r="Z9" i="20"/>
  <c r="Z26" i="20"/>
  <c r="Z11" i="20"/>
  <c r="Z18" i="20"/>
  <c r="Z19" i="20"/>
  <c r="Z14" i="20"/>
  <c r="Z12" i="20"/>
  <c r="Z22" i="20"/>
  <c r="Z25" i="20"/>
  <c r="Z7" i="20"/>
  <c r="Z13" i="20"/>
  <c r="Z21" i="20"/>
  <c r="Z17" i="20"/>
  <c r="Z4" i="20"/>
  <c r="Z20" i="20"/>
  <c r="Z5" i="20"/>
  <c r="Z6" i="20"/>
  <c r="Z16" i="20"/>
  <c r="Z15" i="20"/>
  <c r="NA28" i="17"/>
  <c r="MZ30" i="17"/>
  <c r="MZ48" i="17"/>
  <c r="NL25" i="17"/>
  <c r="NM25" i="17" s="1"/>
  <c r="NK28" i="17"/>
  <c r="NL28" i="17" s="1"/>
  <c r="NM28" i="17" s="1"/>
  <c r="NC28" i="17"/>
  <c r="ND25" i="17"/>
  <c r="Z8" i="18"/>
  <c r="Z24" i="18"/>
  <c r="Z27" i="18"/>
  <c r="Z23" i="18"/>
  <c r="GK28" i="18"/>
  <c r="Y25" i="18"/>
  <c r="Z25" i="18"/>
  <c r="Y28" i="18"/>
  <c r="Y29" i="18" s="1"/>
  <c r="Z4" i="18"/>
  <c r="Z9" i="18"/>
  <c r="Z12" i="18"/>
  <c r="Z14" i="18"/>
  <c r="Z16" i="18"/>
  <c r="Z18" i="18"/>
  <c r="Z20" i="18"/>
  <c r="Z6" i="18"/>
  <c r="Z22" i="18"/>
  <c r="Z21" i="18"/>
  <c r="Z5" i="18"/>
  <c r="Z10" i="18"/>
  <c r="Z11" i="18"/>
  <c r="Z13" i="18"/>
  <c r="Z15" i="18"/>
  <c r="Z17" i="18"/>
  <c r="Z19" i="18"/>
  <c r="Z26" i="18"/>
  <c r="Z7" i="18"/>
  <c r="NK28" i="15"/>
  <c r="NL28" i="15" s="1"/>
  <c r="NM28" i="15" s="1"/>
  <c r="NL25" i="15"/>
  <c r="NM25" i="15" s="1"/>
  <c r="MZ30" i="15"/>
  <c r="MZ49" i="15"/>
  <c r="NA28" i="15"/>
  <c r="NC28" i="15"/>
  <c r="ND25" i="15"/>
  <c r="Z27" i="16"/>
  <c r="Z8" i="16"/>
  <c r="Z23" i="16"/>
  <c r="Z24" i="16"/>
  <c r="GK28" i="16"/>
  <c r="Z13" i="16"/>
  <c r="Z12" i="16"/>
  <c r="Z11" i="16"/>
  <c r="Z7" i="16"/>
  <c r="Z6" i="16"/>
  <c r="Z4" i="16"/>
  <c r="Z15" i="16"/>
  <c r="Z22" i="16"/>
  <c r="Z21" i="16"/>
  <c r="Z14" i="16"/>
  <c r="Z9" i="16"/>
  <c r="Z5" i="16"/>
  <c r="Z26" i="16"/>
  <c r="Z25" i="16"/>
  <c r="Z20" i="16"/>
  <c r="Z19" i="16"/>
  <c r="Z18" i="16"/>
  <c r="Z17" i="16"/>
  <c r="Z16" i="16"/>
  <c r="Z10" i="16"/>
  <c r="GK28" i="14"/>
  <c r="NK12" i="13"/>
  <c r="NL12" i="13" s="1"/>
  <c r="NM12" i="13" s="1"/>
  <c r="NA12" i="13"/>
  <c r="O22" i="13"/>
  <c r="R22" i="13" s="1"/>
  <c r="P22" i="13"/>
  <c r="Q22" i="13"/>
  <c r="D13" i="14"/>
  <c r="MZ28" i="13"/>
  <c r="NK25" i="13"/>
  <c r="NA25" i="13"/>
  <c r="NC25" i="13"/>
  <c r="ND10" i="13"/>
  <c r="Y8" i="14"/>
  <c r="DR25" i="14"/>
  <c r="DR22" i="14"/>
  <c r="DR14" i="14"/>
  <c r="DR24" i="14"/>
  <c r="DR16" i="14"/>
  <c r="DR18" i="14"/>
  <c r="DR17" i="14"/>
  <c r="DR19" i="14"/>
  <c r="DR26" i="14"/>
  <c r="DR9" i="14"/>
  <c r="DR6" i="14"/>
  <c r="DR11" i="14"/>
  <c r="DR7" i="14"/>
  <c r="DR15" i="14"/>
  <c r="DR27" i="14"/>
  <c r="DS28" i="14"/>
  <c r="Y23" i="14"/>
  <c r="FX28" i="14"/>
  <c r="Z17" i="14"/>
  <c r="Z11" i="14"/>
  <c r="Z22" i="14"/>
  <c r="Z14" i="14"/>
  <c r="Z19" i="14"/>
  <c r="Z26" i="14"/>
  <c r="Z9" i="14"/>
  <c r="Z25" i="14"/>
  <c r="Z18" i="14"/>
  <c r="Z16" i="14"/>
  <c r="Z15" i="14"/>
  <c r="Z7" i="14"/>
  <c r="Z6" i="14"/>
  <c r="Y12" i="14"/>
  <c r="Z12" i="14"/>
  <c r="Y10" i="14"/>
  <c r="Z10" i="14"/>
  <c r="Z4" i="14"/>
  <c r="Y4" i="14"/>
  <c r="DR23" i="14"/>
  <c r="DR10" i="14"/>
  <c r="DR8" i="14"/>
  <c r="DR12" i="14"/>
  <c r="DR4" i="14"/>
  <c r="DR28" i="14" s="1"/>
  <c r="Z5" i="14"/>
  <c r="Y5" i="14"/>
  <c r="Y21" i="14"/>
  <c r="Z21" i="14"/>
  <c r="Y20" i="14"/>
  <c r="Z20" i="14"/>
  <c r="Y13" i="14"/>
  <c r="Z13" i="14"/>
  <c r="DS18" i="8"/>
  <c r="GM18" i="8" s="1"/>
  <c r="FX18" i="8"/>
  <c r="FX4" i="8"/>
  <c r="DS4" i="8"/>
  <c r="GM4" i="8" s="1"/>
  <c r="DS17" i="8"/>
  <c r="GM17" i="8" s="1"/>
  <c r="FX17" i="8"/>
  <c r="DS14" i="8"/>
  <c r="GM14" i="8" s="1"/>
  <c r="FX14" i="8"/>
  <c r="FX12" i="8"/>
  <c r="DS12" i="8"/>
  <c r="GM12" i="8" s="1"/>
  <c r="DS5" i="8"/>
  <c r="GM5" i="8" s="1"/>
  <c r="FX5" i="8"/>
  <c r="DS21" i="8"/>
  <c r="GM21" i="8" s="1"/>
  <c r="FX21" i="8"/>
  <c r="FX22" i="8"/>
  <c r="DS22" i="8"/>
  <c r="GM22" i="8" s="1"/>
  <c r="DS7" i="8"/>
  <c r="GM7" i="8" s="1"/>
  <c r="FX7" i="8"/>
  <c r="Y24" i="8"/>
  <c r="DQ28" i="8"/>
  <c r="Y27" i="8"/>
  <c r="NA10" i="5"/>
  <c r="NK10" i="5"/>
  <c r="NL10" i="5" s="1"/>
  <c r="NM10" i="5" s="1"/>
  <c r="NC10" i="5"/>
  <c r="MZ25" i="5"/>
  <c r="O12" i="5"/>
  <c r="R12" i="5" s="1"/>
  <c r="N22" i="5"/>
  <c r="Q12" i="5"/>
  <c r="P12" i="5"/>
  <c r="MZ12" i="5"/>
  <c r="Z19" i="5"/>
  <c r="Z23" i="5" s="1"/>
  <c r="Z22" i="5"/>
  <c r="Z20" i="5"/>
  <c r="AA18" i="5"/>
  <c r="X22" i="5"/>
  <c r="X19" i="5"/>
  <c r="X23" i="5" s="1"/>
  <c r="X20" i="5"/>
  <c r="Y19" i="5"/>
  <c r="Y23" i="5" s="1"/>
  <c r="Y22" i="5"/>
  <c r="Y20" i="5"/>
  <c r="FV14" i="8"/>
  <c r="BT14" i="8"/>
  <c r="GK14" i="8" s="1"/>
  <c r="FV19" i="8"/>
  <c r="BT19" i="8"/>
  <c r="GK19" i="8" s="1"/>
  <c r="FV25" i="8"/>
  <c r="BT25" i="8"/>
  <c r="GK25" i="8" s="1"/>
  <c r="BT12" i="8"/>
  <c r="GK12" i="8" s="1"/>
  <c r="FV12" i="8"/>
  <c r="BT5" i="8"/>
  <c r="GK5" i="8" s="1"/>
  <c r="FV5" i="8"/>
  <c r="BT16" i="8"/>
  <c r="GK16" i="8" s="1"/>
  <c r="FV16" i="8"/>
  <c r="FV20" i="8"/>
  <c r="BT20" i="8"/>
  <c r="GK20" i="8" s="1"/>
  <c r="BT6" i="8"/>
  <c r="GK6" i="8" s="1"/>
  <c r="FV6" i="8"/>
  <c r="BT13" i="8"/>
  <c r="GK13" i="8" s="1"/>
  <c r="FV13" i="8"/>
  <c r="FV11" i="8"/>
  <c r="BT11" i="8"/>
  <c r="GK11" i="8" s="1"/>
  <c r="FV15" i="8"/>
  <c r="BT15" i="8"/>
  <c r="GK15" i="8" s="1"/>
  <c r="FV21" i="8"/>
  <c r="BT21" i="8"/>
  <c r="GK21" i="8" s="1"/>
  <c r="BT22" i="8"/>
  <c r="GK22" i="8" s="1"/>
  <c r="FV22" i="8"/>
  <c r="BT26" i="8"/>
  <c r="GK26" i="8" s="1"/>
  <c r="FV26" i="8"/>
  <c r="BT18" i="8"/>
  <c r="GK18" i="8" s="1"/>
  <c r="FV18" i="8"/>
  <c r="FV7" i="8"/>
  <c r="BT7" i="8"/>
  <c r="GK7" i="8" s="1"/>
  <c r="BT10" i="8"/>
  <c r="GK10" i="8" s="1"/>
  <c r="FV10" i="8"/>
  <c r="FV17" i="8"/>
  <c r="BT17" i="8"/>
  <c r="GK17" i="8" s="1"/>
  <c r="BT9" i="8"/>
  <c r="GK9" i="8" s="1"/>
  <c r="FV9" i="8"/>
  <c r="BO28" i="8"/>
  <c r="BP4" i="8"/>
  <c r="BS4" i="8" s="1"/>
  <c r="DS20" i="8"/>
  <c r="GM20" i="8" s="1"/>
  <c r="FX20" i="8"/>
  <c r="DS11" i="8"/>
  <c r="GM11" i="8" s="1"/>
  <c r="FX11" i="8"/>
  <c r="FX13" i="8"/>
  <c r="DS13" i="8"/>
  <c r="GM13" i="8" s="1"/>
  <c r="FX23" i="8"/>
  <c r="DS26" i="8"/>
  <c r="GM26" i="8" s="1"/>
  <c r="FX26" i="8"/>
  <c r="DS9" i="8"/>
  <c r="GM9" i="8" s="1"/>
  <c r="FX9" i="8"/>
  <c r="DS16" i="8"/>
  <c r="GM16" i="8" s="1"/>
  <c r="FX16" i="8"/>
  <c r="DS6" i="8"/>
  <c r="GM6" i="8" s="1"/>
  <c r="FX6" i="8"/>
  <c r="FX8" i="8"/>
  <c r="DS10" i="8"/>
  <c r="GM10" i="8" s="1"/>
  <c r="FX10" i="8"/>
  <c r="DS19" i="8"/>
  <c r="GM19" i="8" s="1"/>
  <c r="FX19" i="8"/>
  <c r="DS25" i="8"/>
  <c r="GM25" i="8" s="1"/>
  <c r="FX25" i="8"/>
  <c r="DS15" i="8"/>
  <c r="GM15" i="8" s="1"/>
  <c r="FX15" i="8"/>
  <c r="HU23" i="8"/>
  <c r="IU23" i="8"/>
  <c r="IZ23" i="8" s="1"/>
  <c r="NA30" i="19" l="1"/>
  <c r="NK30" i="19"/>
  <c r="NL30" i="19" s="1"/>
  <c r="NM30" i="19" s="1"/>
  <c r="MZ32" i="19"/>
  <c r="NK32" i="19" s="1"/>
  <c r="NL32" i="19" s="1"/>
  <c r="NC9" i="19"/>
  <c r="ND28" i="19"/>
  <c r="NC30" i="19"/>
  <c r="ND30" i="19" s="1"/>
  <c r="EQ23" i="20"/>
  <c r="ER23" i="20" s="1"/>
  <c r="EW23" i="20" s="1"/>
  <c r="FM23" i="20"/>
  <c r="GA23" i="20" s="1"/>
  <c r="FL23" i="20"/>
  <c r="EQ27" i="20"/>
  <c r="ER27" i="20" s="1"/>
  <c r="EW27" i="20" s="1"/>
  <c r="FL27" i="20"/>
  <c r="FM27" i="20"/>
  <c r="GA27" i="20" s="1"/>
  <c r="EQ24" i="20"/>
  <c r="ER24" i="20" s="1"/>
  <c r="EW24" i="20" s="1"/>
  <c r="FM24" i="20"/>
  <c r="GA24" i="20" s="1"/>
  <c r="FL24" i="20"/>
  <c r="EQ8" i="20"/>
  <c r="ER8" i="20" s="1"/>
  <c r="EW8" i="20" s="1"/>
  <c r="FL8" i="20"/>
  <c r="FM8" i="20"/>
  <c r="GA8" i="20" s="1"/>
  <c r="FM10" i="20"/>
  <c r="FL10" i="20"/>
  <c r="EQ10" i="20"/>
  <c r="ER10" i="20" s="1"/>
  <c r="EW10" i="20" s="1"/>
  <c r="EQ9" i="20"/>
  <c r="ER9" i="20" s="1"/>
  <c r="EW9" i="20" s="1"/>
  <c r="FL9" i="20"/>
  <c r="FM9" i="20"/>
  <c r="EQ26" i="20"/>
  <c r="ER26" i="20" s="1"/>
  <c r="EW26" i="20" s="1"/>
  <c r="FL26" i="20"/>
  <c r="FM26" i="20"/>
  <c r="EQ11" i="20"/>
  <c r="ER11" i="20" s="1"/>
  <c r="EW11" i="20" s="1"/>
  <c r="FL11" i="20"/>
  <c r="FM11" i="20"/>
  <c r="EQ18" i="20"/>
  <c r="ER18" i="20" s="1"/>
  <c r="EW18" i="20" s="1"/>
  <c r="FL18" i="20"/>
  <c r="FM18" i="20"/>
  <c r="EQ19" i="20"/>
  <c r="ER19" i="20" s="1"/>
  <c r="EW19" i="20" s="1"/>
  <c r="FL19" i="20"/>
  <c r="FM19" i="20"/>
  <c r="EQ14" i="20"/>
  <c r="ER14" i="20" s="1"/>
  <c r="EW14" i="20" s="1"/>
  <c r="FL14" i="20"/>
  <c r="FM14" i="20"/>
  <c r="EQ12" i="20"/>
  <c r="ER12" i="20" s="1"/>
  <c r="EW12" i="20" s="1"/>
  <c r="FL12" i="20"/>
  <c r="FM12" i="20"/>
  <c r="EQ22" i="20"/>
  <c r="ER22" i="20" s="1"/>
  <c r="EW22" i="20" s="1"/>
  <c r="FM22" i="20"/>
  <c r="FL22" i="20"/>
  <c r="EQ25" i="20"/>
  <c r="ER25" i="20" s="1"/>
  <c r="EW25" i="20" s="1"/>
  <c r="FL25" i="20"/>
  <c r="FM25" i="20"/>
  <c r="EQ7" i="20"/>
  <c r="ER7" i="20" s="1"/>
  <c r="EW7" i="20" s="1"/>
  <c r="FL7" i="20"/>
  <c r="FM7" i="20"/>
  <c r="EQ13" i="20"/>
  <c r="ER13" i="20" s="1"/>
  <c r="EW13" i="20" s="1"/>
  <c r="FM13" i="20"/>
  <c r="FL13" i="20"/>
  <c r="EQ21" i="20"/>
  <c r="ER21" i="20" s="1"/>
  <c r="EW21" i="20" s="1"/>
  <c r="FM21" i="20"/>
  <c r="FL21" i="20"/>
  <c r="EQ17" i="20"/>
  <c r="ER17" i="20" s="1"/>
  <c r="EW17" i="20" s="1"/>
  <c r="FL17" i="20"/>
  <c r="FM17" i="20"/>
  <c r="EQ4" i="20"/>
  <c r="FL4" i="20"/>
  <c r="FM4" i="20"/>
  <c r="EQ20" i="20"/>
  <c r="ER20" i="20" s="1"/>
  <c r="EW20" i="20" s="1"/>
  <c r="FL20" i="20"/>
  <c r="FM20" i="20"/>
  <c r="EQ5" i="20"/>
  <c r="ER5" i="20" s="1"/>
  <c r="EW5" i="20" s="1"/>
  <c r="FL5" i="20"/>
  <c r="FM5" i="20"/>
  <c r="EQ6" i="20"/>
  <c r="ER6" i="20" s="1"/>
  <c r="EW6" i="20" s="1"/>
  <c r="FL6" i="20"/>
  <c r="FM6" i="20"/>
  <c r="EQ16" i="20"/>
  <c r="ER16" i="20" s="1"/>
  <c r="EW16" i="20" s="1"/>
  <c r="FL16" i="20"/>
  <c r="FM16" i="20"/>
  <c r="EQ15" i="20"/>
  <c r="ER15" i="20" s="1"/>
  <c r="EW15" i="20" s="1"/>
  <c r="FL15" i="20"/>
  <c r="FM15" i="20"/>
  <c r="NA30" i="17"/>
  <c r="NK30" i="17"/>
  <c r="NL30" i="17" s="1"/>
  <c r="NM30" i="17" s="1"/>
  <c r="MZ32" i="17"/>
  <c r="NK32" i="17" s="1"/>
  <c r="NL32" i="17" s="1"/>
  <c r="NC9" i="17"/>
  <c r="ND28" i="17"/>
  <c r="NC30" i="17"/>
  <c r="ND30" i="17" s="1"/>
  <c r="EQ8" i="18"/>
  <c r="ER8" i="18" s="1"/>
  <c r="EW8" i="18" s="1"/>
  <c r="FL8" i="18"/>
  <c r="FM8" i="18"/>
  <c r="GA8" i="18" s="1"/>
  <c r="EQ24" i="18"/>
  <c r="ER24" i="18" s="1"/>
  <c r="EW24" i="18" s="1"/>
  <c r="FM24" i="18"/>
  <c r="GA24" i="18" s="1"/>
  <c r="FL24" i="18"/>
  <c r="EQ27" i="18"/>
  <c r="ER27" i="18" s="1"/>
  <c r="EW27" i="18" s="1"/>
  <c r="FL27" i="18"/>
  <c r="FM27" i="18"/>
  <c r="GA27" i="18" s="1"/>
  <c r="EQ23" i="18"/>
  <c r="ER23" i="18" s="1"/>
  <c r="EW23" i="18" s="1"/>
  <c r="FM23" i="18"/>
  <c r="GA23" i="18" s="1"/>
  <c r="FL23" i="18"/>
  <c r="FM25" i="18"/>
  <c r="FL25" i="18"/>
  <c r="EQ25" i="18"/>
  <c r="ER25" i="18" s="1"/>
  <c r="EW25" i="18" s="1"/>
  <c r="EQ4" i="18"/>
  <c r="FL4" i="18"/>
  <c r="FM4" i="18"/>
  <c r="EQ9" i="18"/>
  <c r="ER9" i="18" s="1"/>
  <c r="EW9" i="18" s="1"/>
  <c r="FL9" i="18"/>
  <c r="FM9" i="18"/>
  <c r="EQ12" i="18"/>
  <c r="ER12" i="18" s="1"/>
  <c r="EW12" i="18" s="1"/>
  <c r="FL12" i="18"/>
  <c r="FM12" i="18"/>
  <c r="EQ14" i="18"/>
  <c r="ER14" i="18" s="1"/>
  <c r="EW14" i="18" s="1"/>
  <c r="FL14" i="18"/>
  <c r="FM14" i="18"/>
  <c r="EQ16" i="18"/>
  <c r="ER16" i="18" s="1"/>
  <c r="EW16" i="18" s="1"/>
  <c r="FL16" i="18"/>
  <c r="FM16" i="18"/>
  <c r="EQ18" i="18"/>
  <c r="ER18" i="18" s="1"/>
  <c r="EW18" i="18" s="1"/>
  <c r="FL18" i="18"/>
  <c r="FM18" i="18"/>
  <c r="EQ20" i="18"/>
  <c r="ER20" i="18" s="1"/>
  <c r="EW20" i="18" s="1"/>
  <c r="FL20" i="18"/>
  <c r="FM20" i="18"/>
  <c r="EQ6" i="18"/>
  <c r="ER6" i="18" s="1"/>
  <c r="EW6" i="18" s="1"/>
  <c r="FL6" i="18"/>
  <c r="FM6" i="18"/>
  <c r="EQ22" i="18"/>
  <c r="ER22" i="18" s="1"/>
  <c r="EW22" i="18" s="1"/>
  <c r="FM22" i="18"/>
  <c r="FL22" i="18"/>
  <c r="EQ21" i="18"/>
  <c r="ER21" i="18" s="1"/>
  <c r="EW21" i="18" s="1"/>
  <c r="FM21" i="18"/>
  <c r="FL21" i="18"/>
  <c r="EQ5" i="18"/>
  <c r="ER5" i="18" s="1"/>
  <c r="EW5" i="18" s="1"/>
  <c r="FM5" i="18"/>
  <c r="FL5" i="18"/>
  <c r="EQ10" i="18"/>
  <c r="ER10" i="18" s="1"/>
  <c r="EW10" i="18" s="1"/>
  <c r="FL10" i="18"/>
  <c r="FM10" i="18"/>
  <c r="EQ11" i="18"/>
  <c r="ER11" i="18" s="1"/>
  <c r="EW11" i="18" s="1"/>
  <c r="FL11" i="18"/>
  <c r="FM11" i="18"/>
  <c r="EQ13" i="18"/>
  <c r="ER13" i="18" s="1"/>
  <c r="EW13" i="18" s="1"/>
  <c r="FL13" i="18"/>
  <c r="FM13" i="18"/>
  <c r="EQ15" i="18"/>
  <c r="ER15" i="18" s="1"/>
  <c r="EW15" i="18" s="1"/>
  <c r="FL15" i="18"/>
  <c r="FM15" i="18"/>
  <c r="EQ17" i="18"/>
  <c r="ER17" i="18" s="1"/>
  <c r="EW17" i="18" s="1"/>
  <c r="FL17" i="18"/>
  <c r="FM17" i="18"/>
  <c r="EQ19" i="18"/>
  <c r="ER19" i="18" s="1"/>
  <c r="EW19" i="18" s="1"/>
  <c r="FL19" i="18"/>
  <c r="FM19" i="18"/>
  <c r="EQ26" i="18"/>
  <c r="ER26" i="18" s="1"/>
  <c r="EW26" i="18" s="1"/>
  <c r="FL26" i="18"/>
  <c r="FM26" i="18"/>
  <c r="EQ7" i="18"/>
  <c r="ER7" i="18" s="1"/>
  <c r="EW7" i="18" s="1"/>
  <c r="FL7" i="18"/>
  <c r="FM7" i="18"/>
  <c r="MZ32" i="15"/>
  <c r="NK32" i="15" s="1"/>
  <c r="NL32" i="15" s="1"/>
  <c r="NA30" i="15"/>
  <c r="NK30" i="15"/>
  <c r="NL30" i="15" s="1"/>
  <c r="NM30" i="15" s="1"/>
  <c r="NC9" i="15"/>
  <c r="NC30" i="15"/>
  <c r="ND30" i="15" s="1"/>
  <c r="ND28" i="15"/>
  <c r="EQ27" i="16"/>
  <c r="ER27" i="16" s="1"/>
  <c r="EW27" i="16" s="1"/>
  <c r="FL27" i="16"/>
  <c r="FM27" i="16"/>
  <c r="GA27" i="16" s="1"/>
  <c r="EQ8" i="16"/>
  <c r="ER8" i="16" s="1"/>
  <c r="EW8" i="16" s="1"/>
  <c r="FL8" i="16"/>
  <c r="FM8" i="16"/>
  <c r="GA8" i="16" s="1"/>
  <c r="EQ23" i="16"/>
  <c r="ER23" i="16" s="1"/>
  <c r="EW23" i="16" s="1"/>
  <c r="FM23" i="16"/>
  <c r="GA23" i="16" s="1"/>
  <c r="FL23" i="16"/>
  <c r="EQ24" i="16"/>
  <c r="ER24" i="16" s="1"/>
  <c r="EW24" i="16" s="1"/>
  <c r="FL24" i="16"/>
  <c r="FM24" i="16"/>
  <c r="GA24" i="16" s="1"/>
  <c r="EQ13" i="16"/>
  <c r="ER13" i="16" s="1"/>
  <c r="EW13" i="16" s="1"/>
  <c r="FL13" i="16"/>
  <c r="FM13" i="16"/>
  <c r="EQ12" i="16"/>
  <c r="ER12" i="16" s="1"/>
  <c r="EW12" i="16" s="1"/>
  <c r="FL12" i="16"/>
  <c r="FM12" i="16"/>
  <c r="EQ11" i="16"/>
  <c r="ER11" i="16" s="1"/>
  <c r="EW11" i="16" s="1"/>
  <c r="FL11" i="16"/>
  <c r="FM11" i="16"/>
  <c r="EQ7" i="16"/>
  <c r="ER7" i="16" s="1"/>
  <c r="EW7" i="16" s="1"/>
  <c r="FL7" i="16"/>
  <c r="FM7" i="16"/>
  <c r="EQ6" i="16"/>
  <c r="ER6" i="16" s="1"/>
  <c r="EW6" i="16" s="1"/>
  <c r="FL6" i="16"/>
  <c r="FM6" i="16"/>
  <c r="EQ4" i="16"/>
  <c r="FL4" i="16"/>
  <c r="FM4" i="16"/>
  <c r="EQ15" i="16"/>
  <c r="ER15" i="16" s="1"/>
  <c r="EW15" i="16" s="1"/>
  <c r="FL15" i="16"/>
  <c r="FM15" i="16"/>
  <c r="EQ22" i="16"/>
  <c r="ER22" i="16" s="1"/>
  <c r="EW22" i="16" s="1"/>
  <c r="FL22" i="16"/>
  <c r="FM22" i="16"/>
  <c r="EQ21" i="16"/>
  <c r="ER21" i="16" s="1"/>
  <c r="EW21" i="16" s="1"/>
  <c r="FL21" i="16"/>
  <c r="FM21" i="16"/>
  <c r="EQ14" i="16"/>
  <c r="ER14" i="16" s="1"/>
  <c r="EW14" i="16" s="1"/>
  <c r="FL14" i="16"/>
  <c r="FM14" i="16"/>
  <c r="EQ9" i="16"/>
  <c r="ER9" i="16" s="1"/>
  <c r="EW9" i="16" s="1"/>
  <c r="FL9" i="16"/>
  <c r="FM9" i="16"/>
  <c r="EQ5" i="16"/>
  <c r="ER5" i="16" s="1"/>
  <c r="EW5" i="16" s="1"/>
  <c r="FL5" i="16"/>
  <c r="FM5" i="16"/>
  <c r="EQ26" i="16"/>
  <c r="ER26" i="16" s="1"/>
  <c r="EW26" i="16" s="1"/>
  <c r="FL26" i="16"/>
  <c r="FM26" i="16"/>
  <c r="EQ25" i="16"/>
  <c r="ER25" i="16" s="1"/>
  <c r="EW25" i="16" s="1"/>
  <c r="FL25" i="16"/>
  <c r="FM25" i="16"/>
  <c r="EQ20" i="16"/>
  <c r="ER20" i="16" s="1"/>
  <c r="EW20" i="16" s="1"/>
  <c r="FL20" i="16"/>
  <c r="FM20" i="16"/>
  <c r="EQ19" i="16"/>
  <c r="ER19" i="16" s="1"/>
  <c r="EW19" i="16" s="1"/>
  <c r="FL19" i="16"/>
  <c r="FM19" i="16"/>
  <c r="EQ18" i="16"/>
  <c r="ER18" i="16" s="1"/>
  <c r="EW18" i="16" s="1"/>
  <c r="FL18" i="16"/>
  <c r="FM18" i="16"/>
  <c r="EQ17" i="16"/>
  <c r="ER17" i="16" s="1"/>
  <c r="EW17" i="16" s="1"/>
  <c r="FL17" i="16"/>
  <c r="FM17" i="16"/>
  <c r="EQ16" i="16"/>
  <c r="ER16" i="16" s="1"/>
  <c r="EW16" i="16" s="1"/>
  <c r="FL16" i="16"/>
  <c r="FM16" i="16"/>
  <c r="EQ10" i="16"/>
  <c r="ER10" i="16" s="1"/>
  <c r="EW10" i="16" s="1"/>
  <c r="FL10" i="16"/>
  <c r="FM10" i="16"/>
  <c r="NA28" i="13"/>
  <c r="MZ30" i="13"/>
  <c r="MZ48" i="13"/>
  <c r="NL25" i="13"/>
  <c r="NM25" i="13" s="1"/>
  <c r="NK28" i="13"/>
  <c r="NL28" i="13" s="1"/>
  <c r="NM28" i="13" s="1"/>
  <c r="NC28" i="13"/>
  <c r="ND25" i="13"/>
  <c r="Z24" i="14"/>
  <c r="GM28" i="14"/>
  <c r="EQ17" i="14"/>
  <c r="ER17" i="14" s="1"/>
  <c r="EW17" i="14" s="1"/>
  <c r="FL17" i="14"/>
  <c r="FM17" i="14"/>
  <c r="EQ11" i="14"/>
  <c r="ER11" i="14" s="1"/>
  <c r="EW11" i="14" s="1"/>
  <c r="FL11" i="14"/>
  <c r="FM11" i="14"/>
  <c r="EQ22" i="14"/>
  <c r="ER22" i="14" s="1"/>
  <c r="EW22" i="14" s="1"/>
  <c r="FL22" i="14"/>
  <c r="FM22" i="14"/>
  <c r="EQ14" i="14"/>
  <c r="ER14" i="14" s="1"/>
  <c r="EW14" i="14" s="1"/>
  <c r="FL14" i="14"/>
  <c r="FM14" i="14"/>
  <c r="EQ19" i="14"/>
  <c r="ER19" i="14" s="1"/>
  <c r="EW19" i="14" s="1"/>
  <c r="FL19" i="14"/>
  <c r="FM19" i="14"/>
  <c r="EQ26" i="14"/>
  <c r="ER26" i="14" s="1"/>
  <c r="EW26" i="14" s="1"/>
  <c r="FL26" i="14"/>
  <c r="FM26" i="14"/>
  <c r="EQ9" i="14"/>
  <c r="ER9" i="14" s="1"/>
  <c r="EW9" i="14" s="1"/>
  <c r="FL9" i="14"/>
  <c r="FM9" i="14"/>
  <c r="EQ25" i="14"/>
  <c r="ER25" i="14" s="1"/>
  <c r="EW25" i="14" s="1"/>
  <c r="FM25" i="14"/>
  <c r="FL25" i="14"/>
  <c r="EQ18" i="14"/>
  <c r="ER18" i="14" s="1"/>
  <c r="EW18" i="14" s="1"/>
  <c r="FL18" i="14"/>
  <c r="FM18" i="14"/>
  <c r="EQ16" i="14"/>
  <c r="ER16" i="14" s="1"/>
  <c r="EW16" i="14" s="1"/>
  <c r="FL16" i="14"/>
  <c r="FM16" i="14"/>
  <c r="EQ15" i="14"/>
  <c r="ER15" i="14" s="1"/>
  <c r="EW15" i="14" s="1"/>
  <c r="FL15" i="14"/>
  <c r="FM15" i="14"/>
  <c r="EQ7" i="14"/>
  <c r="ER7" i="14" s="1"/>
  <c r="EW7" i="14" s="1"/>
  <c r="FL7" i="14"/>
  <c r="FM7" i="14"/>
  <c r="EQ6" i="14"/>
  <c r="ER6" i="14" s="1"/>
  <c r="EW6" i="14" s="1"/>
  <c r="FL6" i="14"/>
  <c r="FM6" i="14"/>
  <c r="EQ12" i="14"/>
  <c r="ER12" i="14" s="1"/>
  <c r="EW12" i="14" s="1"/>
  <c r="FL12" i="14"/>
  <c r="FM12" i="14"/>
  <c r="EQ10" i="14"/>
  <c r="ER10" i="14" s="1"/>
  <c r="EW10" i="14" s="1"/>
  <c r="FL10" i="14"/>
  <c r="FM10" i="14"/>
  <c r="EQ4" i="14"/>
  <c r="FM4" i="14"/>
  <c r="FL4" i="14"/>
  <c r="EQ5" i="14"/>
  <c r="ER5" i="14" s="1"/>
  <c r="EW5" i="14" s="1"/>
  <c r="FM5" i="14"/>
  <c r="FL5" i="14"/>
  <c r="EQ21" i="14"/>
  <c r="ER21" i="14" s="1"/>
  <c r="EW21" i="14" s="1"/>
  <c r="FL21" i="14"/>
  <c r="FM21" i="14"/>
  <c r="EQ20" i="14"/>
  <c r="ER20" i="14" s="1"/>
  <c r="EW20" i="14" s="1"/>
  <c r="FL20" i="14"/>
  <c r="FM20" i="14"/>
  <c r="EQ13" i="14"/>
  <c r="ER13" i="14" s="1"/>
  <c r="EW13" i="14" s="1"/>
  <c r="FL13" i="14"/>
  <c r="FM13" i="14"/>
  <c r="Y28" i="14"/>
  <c r="Y29" i="14" s="1"/>
  <c r="Z23" i="14"/>
  <c r="Z27" i="14"/>
  <c r="Z8" i="14"/>
  <c r="DR23" i="8"/>
  <c r="DR6" i="8"/>
  <c r="DR26" i="8"/>
  <c r="DR9" i="8"/>
  <c r="DR10" i="8"/>
  <c r="DR19" i="8"/>
  <c r="DR16" i="8"/>
  <c r="DR7" i="8"/>
  <c r="DR22" i="8"/>
  <c r="DR21" i="8"/>
  <c r="DR18" i="8"/>
  <c r="DR14" i="8"/>
  <c r="DR20" i="8"/>
  <c r="DR8" i="8"/>
  <c r="DR25" i="8"/>
  <c r="DR5" i="8"/>
  <c r="DR4" i="8"/>
  <c r="DR12" i="8"/>
  <c r="DS28" i="8"/>
  <c r="DR17" i="8"/>
  <c r="DR11" i="8"/>
  <c r="DR13" i="8"/>
  <c r="Y10" i="8"/>
  <c r="FX28" i="8"/>
  <c r="GM28" i="8" s="1"/>
  <c r="DR15" i="8"/>
  <c r="DR24" i="8"/>
  <c r="DR27" i="8"/>
  <c r="NC25" i="5"/>
  <c r="ND10" i="5"/>
  <c r="NA25" i="5"/>
  <c r="NK25" i="5"/>
  <c r="D13" i="8"/>
  <c r="MZ28" i="5"/>
  <c r="O22" i="5"/>
  <c r="R22" i="5" s="1"/>
  <c r="Q22" i="5"/>
  <c r="P22" i="5"/>
  <c r="NA12" i="5"/>
  <c r="NK12" i="5"/>
  <c r="NL12" i="5" s="1"/>
  <c r="NM12" i="5" s="1"/>
  <c r="AA22" i="5"/>
  <c r="AA20" i="5"/>
  <c r="AA19" i="5"/>
  <c r="AA23" i="5" s="1"/>
  <c r="FV4" i="8"/>
  <c r="BT4" i="8"/>
  <c r="GK4" i="8" s="1"/>
  <c r="Y26" i="8"/>
  <c r="Y9" i="8"/>
  <c r="Y13" i="8"/>
  <c r="Y16" i="8"/>
  <c r="Y14" i="8"/>
  <c r="Y19" i="8"/>
  <c r="Y25" i="8"/>
  <c r="Y12" i="8"/>
  <c r="Y5" i="8"/>
  <c r="Y20" i="8"/>
  <c r="Y6" i="8"/>
  <c r="Y11" i="8"/>
  <c r="Y15" i="8"/>
  <c r="Y21" i="8"/>
  <c r="Y22" i="8"/>
  <c r="Y18" i="8"/>
  <c r="Y7" i="8"/>
  <c r="Y17" i="8"/>
  <c r="Y23" i="8"/>
  <c r="Y8" i="8"/>
  <c r="JA23" i="8"/>
  <c r="JB23" i="8" s="1"/>
  <c r="JK23" i="8"/>
  <c r="JU22" i="8" s="1"/>
  <c r="NC7" i="19" l="1"/>
  <c r="ND7" i="19" s="1"/>
  <c r="ND9" i="19"/>
  <c r="NC12" i="19"/>
  <c r="ND12" i="19" s="1"/>
  <c r="NC32" i="19"/>
  <c r="FZ23" i="20"/>
  <c r="GB23" i="20" s="1"/>
  <c r="GZ23" i="20" s="1"/>
  <c r="FZ27" i="20"/>
  <c r="GB27" i="20" s="1"/>
  <c r="GZ27" i="20" s="1"/>
  <c r="FZ24" i="20"/>
  <c r="GB24" i="20" s="1"/>
  <c r="GZ24" i="20" s="1"/>
  <c r="FZ8" i="20"/>
  <c r="GB8" i="20" s="1"/>
  <c r="GZ8" i="20" s="1"/>
  <c r="GA10" i="20"/>
  <c r="FN10" i="20"/>
  <c r="GP10" i="20" s="1"/>
  <c r="FZ10" i="20"/>
  <c r="GB10" i="20" s="1"/>
  <c r="EY10" i="20"/>
  <c r="GO10" i="20" s="1"/>
  <c r="FZ9" i="20"/>
  <c r="EY9" i="20"/>
  <c r="GO9" i="20" s="1"/>
  <c r="FN9" i="20"/>
  <c r="GP9" i="20" s="1"/>
  <c r="GA9" i="20"/>
  <c r="EY26" i="20"/>
  <c r="GO26" i="20" s="1"/>
  <c r="FZ26" i="20"/>
  <c r="GA26" i="20"/>
  <c r="FN26" i="20"/>
  <c r="GP26" i="20" s="1"/>
  <c r="FZ11" i="20"/>
  <c r="EY11" i="20"/>
  <c r="GO11" i="20" s="1"/>
  <c r="GA11" i="20"/>
  <c r="FN11" i="20"/>
  <c r="GP11" i="20" s="1"/>
  <c r="FZ18" i="20"/>
  <c r="EY18" i="20"/>
  <c r="GO18" i="20" s="1"/>
  <c r="GA18" i="20"/>
  <c r="FN18" i="20"/>
  <c r="GP18" i="20" s="1"/>
  <c r="FZ19" i="20"/>
  <c r="EY19" i="20"/>
  <c r="GO19" i="20" s="1"/>
  <c r="GA19" i="20"/>
  <c r="FN19" i="20"/>
  <c r="GP19" i="20" s="1"/>
  <c r="FZ14" i="20"/>
  <c r="GB14" i="20" s="1"/>
  <c r="EY14" i="20"/>
  <c r="GO14" i="20" s="1"/>
  <c r="GA14" i="20"/>
  <c r="FN14" i="20"/>
  <c r="GP14" i="20" s="1"/>
  <c r="FZ12" i="20"/>
  <c r="EY12" i="20"/>
  <c r="GO12" i="20" s="1"/>
  <c r="GA12" i="20"/>
  <c r="FN12" i="20"/>
  <c r="GP12" i="20" s="1"/>
  <c r="FZ22" i="20"/>
  <c r="EY22" i="20"/>
  <c r="GO22" i="20" s="1"/>
  <c r="GA22" i="20"/>
  <c r="FN22" i="20"/>
  <c r="GP22" i="20" s="1"/>
  <c r="FZ25" i="20"/>
  <c r="EY25" i="20"/>
  <c r="GO25" i="20" s="1"/>
  <c r="GA25" i="20"/>
  <c r="FN25" i="20"/>
  <c r="GP25" i="20" s="1"/>
  <c r="EY7" i="20"/>
  <c r="GO7" i="20" s="1"/>
  <c r="FZ7" i="20"/>
  <c r="GA7" i="20"/>
  <c r="FN7" i="20"/>
  <c r="GP7" i="20" s="1"/>
  <c r="EY13" i="20"/>
  <c r="GO13" i="20" s="1"/>
  <c r="FZ13" i="20"/>
  <c r="FN13" i="20"/>
  <c r="GP13" i="20" s="1"/>
  <c r="GA13" i="20"/>
  <c r="EY21" i="20"/>
  <c r="GO21" i="20" s="1"/>
  <c r="FZ21" i="20"/>
  <c r="GA21" i="20"/>
  <c r="FN21" i="20"/>
  <c r="GP21" i="20" s="1"/>
  <c r="EY17" i="20"/>
  <c r="GO17" i="20" s="1"/>
  <c r="FZ17" i="20"/>
  <c r="FN17" i="20"/>
  <c r="GP17" i="20" s="1"/>
  <c r="GA17" i="20"/>
  <c r="EQ28" i="20"/>
  <c r="ER4" i="20"/>
  <c r="EW4" i="20" s="1"/>
  <c r="FN4" i="20"/>
  <c r="GP4" i="20" s="1"/>
  <c r="GA4" i="20"/>
  <c r="FZ20" i="20"/>
  <c r="EY20" i="20"/>
  <c r="GO20" i="20" s="1"/>
  <c r="GA20" i="20"/>
  <c r="FN20" i="20"/>
  <c r="GP20" i="20" s="1"/>
  <c r="EY5" i="20"/>
  <c r="GO5" i="20" s="1"/>
  <c r="FZ5" i="20"/>
  <c r="FN5" i="20"/>
  <c r="GP5" i="20" s="1"/>
  <c r="GA5" i="20"/>
  <c r="FZ6" i="20"/>
  <c r="EY6" i="20"/>
  <c r="GO6" i="20" s="1"/>
  <c r="FN6" i="20"/>
  <c r="GP6" i="20" s="1"/>
  <c r="GA6" i="20"/>
  <c r="FZ16" i="20"/>
  <c r="EY16" i="20"/>
  <c r="GO16" i="20" s="1"/>
  <c r="FN16" i="20"/>
  <c r="GP16" i="20" s="1"/>
  <c r="GA16" i="20"/>
  <c r="EY15" i="20"/>
  <c r="GO15" i="20" s="1"/>
  <c r="FZ15" i="20"/>
  <c r="GA15" i="20"/>
  <c r="FN15" i="20"/>
  <c r="GP15" i="20" s="1"/>
  <c r="NC7" i="17"/>
  <c r="ND7" i="17" s="1"/>
  <c r="ND9" i="17"/>
  <c r="NC12" i="17"/>
  <c r="ND12" i="17" s="1"/>
  <c r="NC32" i="17"/>
  <c r="FZ8" i="18"/>
  <c r="GB8" i="18" s="1"/>
  <c r="GZ8" i="18" s="1"/>
  <c r="FZ24" i="18"/>
  <c r="GB24" i="18" s="1"/>
  <c r="GZ24" i="18" s="1"/>
  <c r="FZ27" i="18"/>
  <c r="GB27" i="18" s="1"/>
  <c r="GZ27" i="18" s="1"/>
  <c r="FZ23" i="18"/>
  <c r="GB23" i="18" s="1"/>
  <c r="GZ23" i="18" s="1"/>
  <c r="GA25" i="18"/>
  <c r="FN25" i="18"/>
  <c r="GP25" i="18" s="1"/>
  <c r="FZ25" i="18"/>
  <c r="GB25" i="18" s="1"/>
  <c r="EY25" i="18"/>
  <c r="GO25" i="18" s="1"/>
  <c r="EQ28" i="18"/>
  <c r="ER4" i="18"/>
  <c r="EW4" i="18" s="1"/>
  <c r="FN4" i="18"/>
  <c r="GP4" i="18" s="1"/>
  <c r="GA4" i="18"/>
  <c r="FZ9" i="18"/>
  <c r="EY9" i="18"/>
  <c r="GO9" i="18" s="1"/>
  <c r="GA9" i="18"/>
  <c r="FN9" i="18"/>
  <c r="GP9" i="18" s="1"/>
  <c r="FZ12" i="18"/>
  <c r="EY12" i="18"/>
  <c r="GO12" i="18" s="1"/>
  <c r="FN12" i="18"/>
  <c r="GP12" i="18" s="1"/>
  <c r="GA12" i="18"/>
  <c r="FZ14" i="18"/>
  <c r="EY14" i="18"/>
  <c r="GO14" i="18" s="1"/>
  <c r="GA14" i="18"/>
  <c r="FN14" i="18"/>
  <c r="GP14" i="18" s="1"/>
  <c r="FZ16" i="18"/>
  <c r="EY16" i="18"/>
  <c r="GO16" i="18" s="1"/>
  <c r="GA16" i="18"/>
  <c r="FN16" i="18"/>
  <c r="GP16" i="18" s="1"/>
  <c r="FZ18" i="18"/>
  <c r="EY18" i="18"/>
  <c r="GO18" i="18" s="1"/>
  <c r="GA18" i="18"/>
  <c r="FN18" i="18"/>
  <c r="GP18" i="18" s="1"/>
  <c r="FZ20" i="18"/>
  <c r="EY20" i="18"/>
  <c r="GO20" i="18" s="1"/>
  <c r="FN20" i="18"/>
  <c r="GP20" i="18" s="1"/>
  <c r="GA20" i="18"/>
  <c r="FZ6" i="18"/>
  <c r="EY6" i="18"/>
  <c r="GO6" i="18" s="1"/>
  <c r="GA6" i="18"/>
  <c r="FN6" i="18"/>
  <c r="GP6" i="18" s="1"/>
  <c r="EY22" i="18"/>
  <c r="GO22" i="18" s="1"/>
  <c r="FZ22" i="18"/>
  <c r="GB22" i="18" s="1"/>
  <c r="FN22" i="18"/>
  <c r="GP22" i="18" s="1"/>
  <c r="GA22" i="18"/>
  <c r="EY21" i="18"/>
  <c r="GO21" i="18" s="1"/>
  <c r="FZ21" i="18"/>
  <c r="GA21" i="18"/>
  <c r="FN21" i="18"/>
  <c r="GP21" i="18" s="1"/>
  <c r="EY5" i="18"/>
  <c r="GO5" i="18" s="1"/>
  <c r="FZ5" i="18"/>
  <c r="FN5" i="18"/>
  <c r="GP5" i="18" s="1"/>
  <c r="GA5" i="18"/>
  <c r="FZ10" i="18"/>
  <c r="EY10" i="18"/>
  <c r="GO10" i="18" s="1"/>
  <c r="GA10" i="18"/>
  <c r="FN10" i="18"/>
  <c r="GP10" i="18" s="1"/>
  <c r="FZ11" i="18"/>
  <c r="EY11" i="18"/>
  <c r="GO11" i="18" s="1"/>
  <c r="GA11" i="18"/>
  <c r="FN11" i="18"/>
  <c r="GP11" i="18" s="1"/>
  <c r="FZ13" i="18"/>
  <c r="EY13" i="18"/>
  <c r="GO13" i="18" s="1"/>
  <c r="GA13" i="18"/>
  <c r="FN13" i="18"/>
  <c r="GP13" i="18" s="1"/>
  <c r="FZ15" i="18"/>
  <c r="EY15" i="18"/>
  <c r="GO15" i="18" s="1"/>
  <c r="GA15" i="18"/>
  <c r="FN15" i="18"/>
  <c r="GP15" i="18" s="1"/>
  <c r="FZ17" i="18"/>
  <c r="EY17" i="18"/>
  <c r="GO17" i="18" s="1"/>
  <c r="GA17" i="18"/>
  <c r="FN17" i="18"/>
  <c r="GP17" i="18" s="1"/>
  <c r="FZ19" i="18"/>
  <c r="EY19" i="18"/>
  <c r="GO19" i="18" s="1"/>
  <c r="GA19" i="18"/>
  <c r="FN19" i="18"/>
  <c r="GP19" i="18" s="1"/>
  <c r="FZ26" i="18"/>
  <c r="EY26" i="18"/>
  <c r="GO26" i="18" s="1"/>
  <c r="GA26" i="18"/>
  <c r="FN26" i="18"/>
  <c r="GP26" i="18" s="1"/>
  <c r="EY7" i="18"/>
  <c r="GO7" i="18" s="1"/>
  <c r="FZ7" i="18"/>
  <c r="GB7" i="18" s="1"/>
  <c r="GA7" i="18"/>
  <c r="FN7" i="18"/>
  <c r="GP7" i="18" s="1"/>
  <c r="NC7" i="15"/>
  <c r="ND7" i="15" s="1"/>
  <c r="ND9" i="15"/>
  <c r="NC12" i="15"/>
  <c r="ND12" i="15" s="1"/>
  <c r="NC32" i="15"/>
  <c r="FZ27" i="16"/>
  <c r="GB27" i="16" s="1"/>
  <c r="GZ27" i="16" s="1"/>
  <c r="FZ8" i="16"/>
  <c r="GB8" i="16" s="1"/>
  <c r="GZ8" i="16" s="1"/>
  <c r="FZ23" i="16"/>
  <c r="GB23" i="16" s="1"/>
  <c r="GZ23" i="16" s="1"/>
  <c r="FZ24" i="16"/>
  <c r="GB24" i="16" s="1"/>
  <c r="GZ24" i="16" s="1"/>
  <c r="FZ13" i="16"/>
  <c r="EY13" i="16"/>
  <c r="GO13" i="16" s="1"/>
  <c r="GA13" i="16"/>
  <c r="FN13" i="16"/>
  <c r="GP13" i="16" s="1"/>
  <c r="FZ12" i="16"/>
  <c r="EY12" i="16"/>
  <c r="GO12" i="16" s="1"/>
  <c r="GA12" i="16"/>
  <c r="FN12" i="16"/>
  <c r="GP12" i="16" s="1"/>
  <c r="EY11" i="16"/>
  <c r="GO11" i="16" s="1"/>
  <c r="FZ11" i="16"/>
  <c r="GA11" i="16"/>
  <c r="FN11" i="16"/>
  <c r="GP11" i="16" s="1"/>
  <c r="FZ7" i="16"/>
  <c r="EY7" i="16"/>
  <c r="GO7" i="16" s="1"/>
  <c r="FN7" i="16"/>
  <c r="GP7" i="16" s="1"/>
  <c r="GA7" i="16"/>
  <c r="FZ6" i="16"/>
  <c r="EY6" i="16"/>
  <c r="GO6" i="16" s="1"/>
  <c r="GA6" i="16"/>
  <c r="FN6" i="16"/>
  <c r="GP6" i="16" s="1"/>
  <c r="EQ28" i="16"/>
  <c r="ER4" i="16"/>
  <c r="EW4" i="16" s="1"/>
  <c r="FN4" i="16"/>
  <c r="GP4" i="16" s="1"/>
  <c r="GA4" i="16"/>
  <c r="EY15" i="16"/>
  <c r="GO15" i="16" s="1"/>
  <c r="FZ15" i="16"/>
  <c r="GB15" i="16" s="1"/>
  <c r="GA15" i="16"/>
  <c r="FN15" i="16"/>
  <c r="GP15" i="16" s="1"/>
  <c r="FZ22" i="16"/>
  <c r="EY22" i="16"/>
  <c r="GO22" i="16" s="1"/>
  <c r="FN22" i="16"/>
  <c r="GP22" i="16" s="1"/>
  <c r="GA22" i="16"/>
  <c r="EY21" i="16"/>
  <c r="GO21" i="16" s="1"/>
  <c r="FZ21" i="16"/>
  <c r="GA21" i="16"/>
  <c r="FN21" i="16"/>
  <c r="GP21" i="16" s="1"/>
  <c r="FZ14" i="16"/>
  <c r="GB14" i="16" s="1"/>
  <c r="EY14" i="16"/>
  <c r="GO14" i="16" s="1"/>
  <c r="FN14" i="16"/>
  <c r="GP14" i="16" s="1"/>
  <c r="GA14" i="16"/>
  <c r="FZ9" i="16"/>
  <c r="EY9" i="16"/>
  <c r="GO9" i="16" s="1"/>
  <c r="FN9" i="16"/>
  <c r="GP9" i="16" s="1"/>
  <c r="GA9" i="16"/>
  <c r="FZ5" i="16"/>
  <c r="EY5" i="16"/>
  <c r="GO5" i="16" s="1"/>
  <c r="GA5" i="16"/>
  <c r="FN5" i="16"/>
  <c r="GP5" i="16" s="1"/>
  <c r="FZ26" i="16"/>
  <c r="EY26" i="16"/>
  <c r="GO26" i="16" s="1"/>
  <c r="FN26" i="16"/>
  <c r="GP26" i="16" s="1"/>
  <c r="GA26" i="16"/>
  <c r="FZ25" i="16"/>
  <c r="GB25" i="16" s="1"/>
  <c r="EY25" i="16"/>
  <c r="GO25" i="16" s="1"/>
  <c r="GA25" i="16"/>
  <c r="FN25" i="16"/>
  <c r="GP25" i="16" s="1"/>
  <c r="FZ20" i="16"/>
  <c r="EY20" i="16"/>
  <c r="GO20" i="16" s="1"/>
  <c r="GA20" i="16"/>
  <c r="FN20" i="16"/>
  <c r="GP20" i="16" s="1"/>
  <c r="FZ19" i="16"/>
  <c r="EY19" i="16"/>
  <c r="GO19" i="16" s="1"/>
  <c r="GA19" i="16"/>
  <c r="FN19" i="16"/>
  <c r="GP19" i="16" s="1"/>
  <c r="FZ18" i="16"/>
  <c r="EY18" i="16"/>
  <c r="GO18" i="16" s="1"/>
  <c r="GA18" i="16"/>
  <c r="FN18" i="16"/>
  <c r="GP18" i="16" s="1"/>
  <c r="FZ17" i="16"/>
  <c r="EY17" i="16"/>
  <c r="GO17" i="16" s="1"/>
  <c r="GA17" i="16"/>
  <c r="FN17" i="16"/>
  <c r="GP17" i="16" s="1"/>
  <c r="FZ16" i="16"/>
  <c r="GB16" i="16" s="1"/>
  <c r="EY16" i="16"/>
  <c r="GO16" i="16" s="1"/>
  <c r="GA16" i="16"/>
  <c r="FN16" i="16"/>
  <c r="GP16" i="16" s="1"/>
  <c r="FZ10" i="16"/>
  <c r="EY10" i="16"/>
  <c r="GO10" i="16" s="1"/>
  <c r="FN10" i="16"/>
  <c r="GP10" i="16" s="1"/>
  <c r="GA10" i="16"/>
  <c r="NA30" i="13"/>
  <c r="NK30" i="13"/>
  <c r="NL30" i="13" s="1"/>
  <c r="NM30" i="13" s="1"/>
  <c r="MZ32" i="13"/>
  <c r="NK32" i="13" s="1"/>
  <c r="NL32" i="13" s="1"/>
  <c r="NC9" i="13"/>
  <c r="ND28" i="13"/>
  <c r="NC30" i="13"/>
  <c r="ND30" i="13" s="1"/>
  <c r="FL24" i="14"/>
  <c r="FM24" i="14"/>
  <c r="GA24" i="14" s="1"/>
  <c r="EQ24" i="14"/>
  <c r="ER24" i="14" s="1"/>
  <c r="EW24" i="14" s="1"/>
  <c r="FZ17" i="14"/>
  <c r="GB17" i="14" s="1"/>
  <c r="EY17" i="14"/>
  <c r="GO17" i="14" s="1"/>
  <c r="GA17" i="14"/>
  <c r="FN17" i="14"/>
  <c r="GP17" i="14" s="1"/>
  <c r="FZ11" i="14"/>
  <c r="EY11" i="14"/>
  <c r="GO11" i="14" s="1"/>
  <c r="FN11" i="14"/>
  <c r="GP11" i="14" s="1"/>
  <c r="GA11" i="14"/>
  <c r="EY22" i="14"/>
  <c r="GO22" i="14" s="1"/>
  <c r="FZ22" i="14"/>
  <c r="FN22" i="14"/>
  <c r="GP22" i="14" s="1"/>
  <c r="GA22" i="14"/>
  <c r="FZ14" i="14"/>
  <c r="EY14" i="14"/>
  <c r="GO14" i="14" s="1"/>
  <c r="GA14" i="14"/>
  <c r="FN14" i="14"/>
  <c r="GP14" i="14" s="1"/>
  <c r="FZ19" i="14"/>
  <c r="EY19" i="14"/>
  <c r="GO19" i="14" s="1"/>
  <c r="GA19" i="14"/>
  <c r="FN19" i="14"/>
  <c r="GP19" i="14" s="1"/>
  <c r="FZ26" i="14"/>
  <c r="EY26" i="14"/>
  <c r="GO26" i="14" s="1"/>
  <c r="FN26" i="14"/>
  <c r="GP26" i="14" s="1"/>
  <c r="GA26" i="14"/>
  <c r="FZ9" i="14"/>
  <c r="EY9" i="14"/>
  <c r="GO9" i="14" s="1"/>
  <c r="GA9" i="14"/>
  <c r="FN9" i="14"/>
  <c r="GP9" i="14" s="1"/>
  <c r="FZ25" i="14"/>
  <c r="GB25" i="14" s="1"/>
  <c r="EY25" i="14"/>
  <c r="GO25" i="14" s="1"/>
  <c r="FN25" i="14"/>
  <c r="GP25" i="14" s="1"/>
  <c r="GA25" i="14"/>
  <c r="EY18" i="14"/>
  <c r="GO18" i="14" s="1"/>
  <c r="FZ18" i="14"/>
  <c r="GA18" i="14"/>
  <c r="FN18" i="14"/>
  <c r="GP18" i="14" s="1"/>
  <c r="EY16" i="14"/>
  <c r="GO16" i="14" s="1"/>
  <c r="FZ16" i="14"/>
  <c r="GA16" i="14"/>
  <c r="FN16" i="14"/>
  <c r="GP16" i="14" s="1"/>
  <c r="FZ15" i="14"/>
  <c r="EY15" i="14"/>
  <c r="GO15" i="14" s="1"/>
  <c r="GA15" i="14"/>
  <c r="FN15" i="14"/>
  <c r="GP15" i="14" s="1"/>
  <c r="FZ7" i="14"/>
  <c r="EY7" i="14"/>
  <c r="GO7" i="14" s="1"/>
  <c r="GA7" i="14"/>
  <c r="FN7" i="14"/>
  <c r="GP7" i="14" s="1"/>
  <c r="FZ6" i="14"/>
  <c r="EY6" i="14"/>
  <c r="GO6" i="14" s="1"/>
  <c r="GA6" i="14"/>
  <c r="FN6" i="14"/>
  <c r="GP6" i="14" s="1"/>
  <c r="FZ12" i="14"/>
  <c r="GB12" i="14" s="1"/>
  <c r="EY12" i="14"/>
  <c r="GO12" i="14" s="1"/>
  <c r="GA12" i="14"/>
  <c r="FN12" i="14"/>
  <c r="GP12" i="14" s="1"/>
  <c r="FZ10" i="14"/>
  <c r="EY10" i="14"/>
  <c r="GO10" i="14" s="1"/>
  <c r="GA10" i="14"/>
  <c r="FN10" i="14"/>
  <c r="GP10" i="14" s="1"/>
  <c r="ER4" i="14"/>
  <c r="EW4" i="14" s="1"/>
  <c r="GA4" i="14"/>
  <c r="FN4" i="14"/>
  <c r="GP4" i="14" s="1"/>
  <c r="FZ5" i="14"/>
  <c r="EY5" i="14"/>
  <c r="GO5" i="14" s="1"/>
  <c r="GA5" i="14"/>
  <c r="FN5" i="14"/>
  <c r="GP5" i="14" s="1"/>
  <c r="FZ21" i="14"/>
  <c r="GB21" i="14" s="1"/>
  <c r="EY21" i="14"/>
  <c r="GO21" i="14" s="1"/>
  <c r="GA21" i="14"/>
  <c r="FN21" i="14"/>
  <c r="GP21" i="14" s="1"/>
  <c r="FZ20" i="14"/>
  <c r="EY20" i="14"/>
  <c r="GO20" i="14" s="1"/>
  <c r="FN20" i="14"/>
  <c r="GP20" i="14" s="1"/>
  <c r="GA20" i="14"/>
  <c r="FZ13" i="14"/>
  <c r="EY13" i="14"/>
  <c r="GO13" i="14" s="1"/>
  <c r="GA13" i="14"/>
  <c r="FN13" i="14"/>
  <c r="GP13" i="14" s="1"/>
  <c r="FM23" i="14"/>
  <c r="GA23" i="14" s="1"/>
  <c r="FL23" i="14"/>
  <c r="EQ23" i="14"/>
  <c r="ER23" i="14" s="1"/>
  <c r="EW23" i="14" s="1"/>
  <c r="FM27" i="14"/>
  <c r="GA27" i="14" s="1"/>
  <c r="FL27" i="14"/>
  <c r="EQ27" i="14"/>
  <c r="ER27" i="14" s="1"/>
  <c r="EW27" i="14" s="1"/>
  <c r="FM8" i="14"/>
  <c r="GA8" i="14" s="1"/>
  <c r="FL8" i="14"/>
  <c r="EQ8" i="14"/>
  <c r="DR28" i="8"/>
  <c r="ND25" i="5"/>
  <c r="NC28" i="5"/>
  <c r="NK28" i="5"/>
  <c r="NL28" i="5" s="1"/>
  <c r="NM28" i="5" s="1"/>
  <c r="NL25" i="5"/>
  <c r="NM25" i="5" s="1"/>
  <c r="MZ30" i="5"/>
  <c r="NA28" i="5"/>
  <c r="FV28" i="8"/>
  <c r="Z4" i="8" s="1"/>
  <c r="Y4" i="8"/>
  <c r="GC10" i="20" l="1"/>
  <c r="GQ10" i="20" s="1"/>
  <c r="GZ10" i="20"/>
  <c r="HB10" i="20" s="1"/>
  <c r="GC14" i="20"/>
  <c r="GQ14" i="20" s="1"/>
  <c r="GZ14" i="20"/>
  <c r="HB14" i="20" s="1"/>
  <c r="FZ4" i="20"/>
  <c r="EY4" i="20"/>
  <c r="GO4" i="20" s="1"/>
  <c r="EW28" i="20"/>
  <c r="EX4" i="20" s="1"/>
  <c r="GB17" i="20"/>
  <c r="GA28" i="20"/>
  <c r="GP28" i="20" s="1"/>
  <c r="GB6" i="20"/>
  <c r="GB15" i="20"/>
  <c r="GB11" i="20"/>
  <c r="GB18" i="20"/>
  <c r="GB19" i="20"/>
  <c r="GB22" i="20"/>
  <c r="GB13" i="20"/>
  <c r="GB21" i="20"/>
  <c r="GB5" i="20"/>
  <c r="GB26" i="20"/>
  <c r="GB25" i="20"/>
  <c r="GB9" i="20"/>
  <c r="GB12" i="20"/>
  <c r="GB7" i="20"/>
  <c r="GB20" i="20"/>
  <c r="GB16" i="20"/>
  <c r="GC25" i="18"/>
  <c r="GQ25" i="18" s="1"/>
  <c r="GZ25" i="18"/>
  <c r="HB25" i="18" s="1"/>
  <c r="EY4" i="18"/>
  <c r="GO4" i="18" s="1"/>
  <c r="FZ4" i="18"/>
  <c r="EW28" i="18"/>
  <c r="EX4" i="18" s="1"/>
  <c r="GC22" i="18"/>
  <c r="GQ22" i="18" s="1"/>
  <c r="GZ22" i="18"/>
  <c r="HB22" i="18" s="1"/>
  <c r="GC7" i="18"/>
  <c r="GQ7" i="18" s="1"/>
  <c r="GZ7" i="18"/>
  <c r="HB7" i="18" s="1"/>
  <c r="GB14" i="18"/>
  <c r="GA28" i="18"/>
  <c r="GP28" i="18" s="1"/>
  <c r="GB9" i="18"/>
  <c r="GB20" i="18"/>
  <c r="GB17" i="18"/>
  <c r="GB16" i="18"/>
  <c r="GB18" i="18"/>
  <c r="GB10" i="18"/>
  <c r="GB11" i="18"/>
  <c r="GB26" i="18"/>
  <c r="GB21" i="18"/>
  <c r="GB5" i="18"/>
  <c r="GB13" i="18"/>
  <c r="GB15" i="18"/>
  <c r="GB19" i="18"/>
  <c r="GB12" i="18"/>
  <c r="GB6" i="18"/>
  <c r="EY4" i="16"/>
  <c r="GO4" i="16" s="1"/>
  <c r="FZ4" i="16"/>
  <c r="EW28" i="16"/>
  <c r="EX4" i="16" s="1"/>
  <c r="GC15" i="16"/>
  <c r="GQ15" i="16" s="1"/>
  <c r="GZ15" i="16"/>
  <c r="HB15" i="16" s="1"/>
  <c r="GC14" i="16"/>
  <c r="GQ14" i="16" s="1"/>
  <c r="GZ14" i="16"/>
  <c r="HB14" i="16" s="1"/>
  <c r="GC25" i="16"/>
  <c r="GQ25" i="16" s="1"/>
  <c r="GZ25" i="16"/>
  <c r="HB25" i="16" s="1"/>
  <c r="GC16" i="16"/>
  <c r="GQ16" i="16" s="1"/>
  <c r="GZ16" i="16"/>
  <c r="HB16" i="16" s="1"/>
  <c r="GB10" i="16"/>
  <c r="GB11" i="16"/>
  <c r="GB7" i="16"/>
  <c r="GB5" i="16"/>
  <c r="GA28" i="16"/>
  <c r="GP28" i="16" s="1"/>
  <c r="GB9" i="16"/>
  <c r="GB6" i="16"/>
  <c r="GB22" i="16"/>
  <c r="GB21" i="16"/>
  <c r="GB17" i="16"/>
  <c r="GB20" i="16"/>
  <c r="GB19" i="16"/>
  <c r="GB18" i="16"/>
  <c r="GB13" i="16"/>
  <c r="GB12" i="16"/>
  <c r="GB26" i="16"/>
  <c r="NC7" i="13"/>
  <c r="ND7" i="13" s="1"/>
  <c r="ND9" i="13"/>
  <c r="NC12" i="13"/>
  <c r="ND12" i="13" s="1"/>
  <c r="NC32" i="13"/>
  <c r="FZ24" i="14"/>
  <c r="GB24" i="14" s="1"/>
  <c r="GZ24" i="14" s="1"/>
  <c r="GC17" i="14"/>
  <c r="GQ17" i="14" s="1"/>
  <c r="GZ17" i="14"/>
  <c r="HB17" i="14" s="1"/>
  <c r="GC25" i="14"/>
  <c r="GQ25" i="14" s="1"/>
  <c r="GZ25" i="14"/>
  <c r="HB25" i="14" s="1"/>
  <c r="GZ12" i="14"/>
  <c r="HB12" i="14" s="1"/>
  <c r="GC12" i="14"/>
  <c r="GQ12" i="14" s="1"/>
  <c r="EY4" i="14"/>
  <c r="GO4" i="14" s="1"/>
  <c r="FZ4" i="14"/>
  <c r="EW28" i="14"/>
  <c r="GZ21" i="14"/>
  <c r="HB21" i="14" s="1"/>
  <c r="GC21" i="14"/>
  <c r="GQ21" i="14" s="1"/>
  <c r="FZ23" i="14"/>
  <c r="GB23" i="14" s="1"/>
  <c r="GZ23" i="14" s="1"/>
  <c r="EX23" i="14"/>
  <c r="FZ27" i="14"/>
  <c r="GB27" i="14" s="1"/>
  <c r="GZ27" i="14" s="1"/>
  <c r="EX27" i="14"/>
  <c r="GB11" i="14"/>
  <c r="GB22" i="14"/>
  <c r="GB14" i="14"/>
  <c r="GB19" i="14"/>
  <c r="GB26" i="14"/>
  <c r="GB9" i="14"/>
  <c r="GB6" i="14"/>
  <c r="GB18" i="14"/>
  <c r="GB16" i="14"/>
  <c r="GB15" i="14"/>
  <c r="GB7" i="14"/>
  <c r="GB10" i="14"/>
  <c r="GA28" i="14"/>
  <c r="GP28" i="14" s="1"/>
  <c r="GB5" i="14"/>
  <c r="GB20" i="14"/>
  <c r="GB13" i="14"/>
  <c r="ER8" i="14"/>
  <c r="EW8" i="14" s="1"/>
  <c r="EQ28" i="14"/>
  <c r="ND28" i="5"/>
  <c r="NC30" i="5"/>
  <c r="ND30" i="5" s="1"/>
  <c r="NC9" i="5"/>
  <c r="MZ32" i="5"/>
  <c r="NK32" i="5" s="1"/>
  <c r="NL32" i="5" s="1"/>
  <c r="NK30" i="5"/>
  <c r="NL30" i="5" s="1"/>
  <c r="NM30" i="5" s="1"/>
  <c r="NA30" i="5"/>
  <c r="EQ4" i="8"/>
  <c r="FM4" i="8"/>
  <c r="FL4" i="8"/>
  <c r="Z14" i="8"/>
  <c r="Z19" i="8"/>
  <c r="Z8" i="8"/>
  <c r="Z23" i="8"/>
  <c r="Z17" i="8"/>
  <c r="Z7" i="8"/>
  <c r="Z18" i="8"/>
  <c r="Z22" i="8"/>
  <c r="Z21" i="8"/>
  <c r="Z15" i="8"/>
  <c r="Z11" i="8"/>
  <c r="Z6" i="8"/>
  <c r="Z20" i="8"/>
  <c r="Z5" i="8"/>
  <c r="Z12" i="8"/>
  <c r="Z25" i="8"/>
  <c r="Z13" i="8"/>
  <c r="Z16" i="8"/>
  <c r="Z9" i="8"/>
  <c r="Z26" i="8"/>
  <c r="GK28" i="8"/>
  <c r="Z10" i="8"/>
  <c r="Z24" i="8"/>
  <c r="Z27" i="8"/>
  <c r="IU10" i="20" l="1"/>
  <c r="HU10" i="20"/>
  <c r="HC10" i="20"/>
  <c r="IS10" i="20" s="1"/>
  <c r="IY10" i="20" s="1"/>
  <c r="IZ10" i="20" s="1"/>
  <c r="HC14" i="20"/>
  <c r="IS14" i="20" s="1"/>
  <c r="IY14" i="20" s="1"/>
  <c r="IZ14" i="20" s="1"/>
  <c r="HU14" i="20"/>
  <c r="IU14" i="20"/>
  <c r="GB4" i="20"/>
  <c r="FZ28" i="20"/>
  <c r="EX25" i="20"/>
  <c r="EX26" i="20"/>
  <c r="EX16" i="20"/>
  <c r="EX5" i="20"/>
  <c r="EX13" i="20"/>
  <c r="EX10" i="20"/>
  <c r="EX24" i="20"/>
  <c r="EX27" i="20"/>
  <c r="EX20" i="20"/>
  <c r="EX17" i="20"/>
  <c r="EX7" i="20"/>
  <c r="EX22" i="20"/>
  <c r="EX14" i="20"/>
  <c r="EX23" i="20"/>
  <c r="EX6" i="20"/>
  <c r="EX19" i="20"/>
  <c r="EX18" i="20"/>
  <c r="EX8" i="20"/>
  <c r="EX21" i="20"/>
  <c r="EX11" i="20"/>
  <c r="EX9" i="20"/>
  <c r="EX15" i="20"/>
  <c r="EX12" i="20"/>
  <c r="EY28" i="20"/>
  <c r="GZ17" i="20"/>
  <c r="HB17" i="20" s="1"/>
  <c r="GC17" i="20"/>
  <c r="GQ17" i="20" s="1"/>
  <c r="GZ6" i="20"/>
  <c r="HB6" i="20" s="1"/>
  <c r="GC6" i="20"/>
  <c r="GQ6" i="20" s="1"/>
  <c r="GZ15" i="20"/>
  <c r="HB15" i="20" s="1"/>
  <c r="GC15" i="20"/>
  <c r="GQ15" i="20" s="1"/>
  <c r="GZ11" i="20"/>
  <c r="HB11" i="20" s="1"/>
  <c r="GC11" i="20"/>
  <c r="GQ11" i="20" s="1"/>
  <c r="GZ18" i="20"/>
  <c r="HB18" i="20" s="1"/>
  <c r="GC18" i="20"/>
  <c r="GQ18" i="20" s="1"/>
  <c r="GZ19" i="20"/>
  <c r="HB19" i="20" s="1"/>
  <c r="GC19" i="20"/>
  <c r="GQ19" i="20" s="1"/>
  <c r="GZ22" i="20"/>
  <c r="HB22" i="20" s="1"/>
  <c r="GC22" i="20"/>
  <c r="GQ22" i="20" s="1"/>
  <c r="GZ13" i="20"/>
  <c r="HB13" i="20" s="1"/>
  <c r="GC13" i="20"/>
  <c r="GQ13" i="20" s="1"/>
  <c r="GZ21" i="20"/>
  <c r="HB21" i="20" s="1"/>
  <c r="GC21" i="20"/>
  <c r="GQ21" i="20" s="1"/>
  <c r="GZ5" i="20"/>
  <c r="HB5" i="20" s="1"/>
  <c r="GC5" i="20"/>
  <c r="GQ5" i="20" s="1"/>
  <c r="GZ26" i="20"/>
  <c r="HB26" i="20" s="1"/>
  <c r="GC26" i="20"/>
  <c r="GQ26" i="20" s="1"/>
  <c r="GZ25" i="20"/>
  <c r="HB25" i="20" s="1"/>
  <c r="GC25" i="20"/>
  <c r="GQ25" i="20" s="1"/>
  <c r="GZ9" i="20"/>
  <c r="HB9" i="20" s="1"/>
  <c r="GC9" i="20"/>
  <c r="GQ9" i="20" s="1"/>
  <c r="GZ12" i="20"/>
  <c r="HB12" i="20" s="1"/>
  <c r="GC12" i="20"/>
  <c r="GQ12" i="20" s="1"/>
  <c r="GZ7" i="20"/>
  <c r="HB7" i="20" s="1"/>
  <c r="GC7" i="20"/>
  <c r="GQ7" i="20" s="1"/>
  <c r="GZ20" i="20"/>
  <c r="HB20" i="20" s="1"/>
  <c r="GC20" i="20"/>
  <c r="GQ20" i="20" s="1"/>
  <c r="GZ16" i="20"/>
  <c r="HB16" i="20" s="1"/>
  <c r="GC16" i="20"/>
  <c r="GQ16" i="20" s="1"/>
  <c r="IU25" i="18"/>
  <c r="HC25" i="18"/>
  <c r="IS25" i="18" s="1"/>
  <c r="IY25" i="18" s="1"/>
  <c r="IZ25" i="18" s="1"/>
  <c r="HU25" i="18"/>
  <c r="GB4" i="18"/>
  <c r="FZ28" i="18"/>
  <c r="EX19" i="18"/>
  <c r="EX13" i="18"/>
  <c r="EX23" i="18"/>
  <c r="EX8" i="18"/>
  <c r="EX17" i="18"/>
  <c r="EX20" i="18"/>
  <c r="EX27" i="18"/>
  <c r="EX24" i="18"/>
  <c r="EX22" i="18"/>
  <c r="EX18" i="18"/>
  <c r="EX25" i="18"/>
  <c r="EX7" i="18"/>
  <c r="EX26" i="18"/>
  <c r="EX15" i="18"/>
  <c r="EX11" i="18"/>
  <c r="EX10" i="18"/>
  <c r="EX5" i="18"/>
  <c r="EX21" i="18"/>
  <c r="EX14" i="18"/>
  <c r="EX9" i="18"/>
  <c r="EX6" i="18"/>
  <c r="EX16" i="18"/>
  <c r="EX12" i="18"/>
  <c r="EY28" i="18"/>
  <c r="HU22" i="18"/>
  <c r="HC22" i="18"/>
  <c r="IS22" i="18" s="1"/>
  <c r="IY22" i="18" s="1"/>
  <c r="IZ22" i="18" s="1"/>
  <c r="IU22" i="18"/>
  <c r="HC7" i="18"/>
  <c r="IS7" i="18" s="1"/>
  <c r="IY7" i="18" s="1"/>
  <c r="IZ7" i="18" s="1"/>
  <c r="IU7" i="18"/>
  <c r="HU7" i="18"/>
  <c r="GZ14" i="18"/>
  <c r="HB14" i="18" s="1"/>
  <c r="GC14" i="18"/>
  <c r="GQ14" i="18" s="1"/>
  <c r="GZ9" i="18"/>
  <c r="HB9" i="18" s="1"/>
  <c r="GC9" i="18"/>
  <c r="GQ9" i="18" s="1"/>
  <c r="GZ20" i="18"/>
  <c r="HB20" i="18" s="1"/>
  <c r="GC20" i="18"/>
  <c r="GQ20" i="18" s="1"/>
  <c r="GZ17" i="18"/>
  <c r="HB17" i="18" s="1"/>
  <c r="GC17" i="18"/>
  <c r="GQ17" i="18" s="1"/>
  <c r="GZ16" i="18"/>
  <c r="HB16" i="18" s="1"/>
  <c r="GC16" i="18"/>
  <c r="GQ16" i="18" s="1"/>
  <c r="GZ18" i="18"/>
  <c r="HB18" i="18" s="1"/>
  <c r="GC18" i="18"/>
  <c r="GQ18" i="18" s="1"/>
  <c r="GZ10" i="18"/>
  <c r="HB10" i="18" s="1"/>
  <c r="GC10" i="18"/>
  <c r="GQ10" i="18" s="1"/>
  <c r="GZ11" i="18"/>
  <c r="HB11" i="18" s="1"/>
  <c r="GC11" i="18"/>
  <c r="GQ11" i="18" s="1"/>
  <c r="GZ26" i="18"/>
  <c r="HB26" i="18" s="1"/>
  <c r="GC26" i="18"/>
  <c r="GQ26" i="18" s="1"/>
  <c r="GZ21" i="18"/>
  <c r="HB21" i="18" s="1"/>
  <c r="GC21" i="18"/>
  <c r="GQ21" i="18" s="1"/>
  <c r="GC5" i="18"/>
  <c r="GQ5" i="18" s="1"/>
  <c r="GZ5" i="18"/>
  <c r="HB5" i="18" s="1"/>
  <c r="GZ13" i="18"/>
  <c r="HB13" i="18" s="1"/>
  <c r="GC13" i="18"/>
  <c r="GQ13" i="18" s="1"/>
  <c r="GZ15" i="18"/>
  <c r="HB15" i="18" s="1"/>
  <c r="GC15" i="18"/>
  <c r="GQ15" i="18" s="1"/>
  <c r="GZ19" i="18"/>
  <c r="HB19" i="18" s="1"/>
  <c r="GC19" i="18"/>
  <c r="GQ19" i="18" s="1"/>
  <c r="GZ12" i="18"/>
  <c r="HB12" i="18" s="1"/>
  <c r="GC12" i="18"/>
  <c r="GQ12" i="18" s="1"/>
  <c r="GZ6" i="18"/>
  <c r="HB6" i="18" s="1"/>
  <c r="GC6" i="18"/>
  <c r="GQ6" i="18" s="1"/>
  <c r="GB4" i="16"/>
  <c r="FZ28" i="16"/>
  <c r="EX19" i="16"/>
  <c r="EX23" i="16"/>
  <c r="EX17" i="16"/>
  <c r="EX6" i="16"/>
  <c r="EX12" i="16"/>
  <c r="EX24" i="16"/>
  <c r="EX15" i="16"/>
  <c r="EX11" i="16"/>
  <c r="EX18" i="16"/>
  <c r="EX26" i="16"/>
  <c r="EX5" i="16"/>
  <c r="EX9" i="16"/>
  <c r="EX21" i="16"/>
  <c r="EX20" i="16"/>
  <c r="EX14" i="16"/>
  <c r="EX7" i="16"/>
  <c r="EX13" i="16"/>
  <c r="EX25" i="16"/>
  <c r="EX8" i="16"/>
  <c r="EX27" i="16"/>
  <c r="EX22" i="16"/>
  <c r="EX10" i="16"/>
  <c r="EX16" i="16"/>
  <c r="EY28" i="16"/>
  <c r="IU15" i="16"/>
  <c r="IZ15" i="16" s="1"/>
  <c r="HU15" i="16"/>
  <c r="HC15" i="16"/>
  <c r="IU14" i="16"/>
  <c r="HU14" i="16"/>
  <c r="HC14" i="16"/>
  <c r="IS14" i="16" s="1"/>
  <c r="IY14" i="16" s="1"/>
  <c r="IZ14" i="16" s="1"/>
  <c r="IU25" i="16"/>
  <c r="HU25" i="16"/>
  <c r="HC25" i="16"/>
  <c r="IS25" i="16" s="1"/>
  <c r="IY25" i="16" s="1"/>
  <c r="IZ25" i="16" s="1"/>
  <c r="IU16" i="16"/>
  <c r="HU16" i="16"/>
  <c r="HC16" i="16"/>
  <c r="IS16" i="16" s="1"/>
  <c r="IY16" i="16" s="1"/>
  <c r="IZ16" i="16" s="1"/>
  <c r="GZ10" i="16"/>
  <c r="HB10" i="16" s="1"/>
  <c r="GC10" i="16"/>
  <c r="GQ10" i="16" s="1"/>
  <c r="GZ11" i="16"/>
  <c r="HB11" i="16" s="1"/>
  <c r="GC11" i="16"/>
  <c r="GQ11" i="16" s="1"/>
  <c r="GZ7" i="16"/>
  <c r="HB7" i="16" s="1"/>
  <c r="GC7" i="16"/>
  <c r="GQ7" i="16" s="1"/>
  <c r="GZ5" i="16"/>
  <c r="HB5" i="16" s="1"/>
  <c r="GC5" i="16"/>
  <c r="GQ5" i="16" s="1"/>
  <c r="GZ9" i="16"/>
  <c r="HB9" i="16" s="1"/>
  <c r="GC9" i="16"/>
  <c r="GQ9" i="16" s="1"/>
  <c r="GZ6" i="16"/>
  <c r="HB6" i="16" s="1"/>
  <c r="GC6" i="16"/>
  <c r="GQ6" i="16" s="1"/>
  <c r="GZ22" i="16"/>
  <c r="HB22" i="16" s="1"/>
  <c r="GC22" i="16"/>
  <c r="GQ22" i="16" s="1"/>
  <c r="GZ21" i="16"/>
  <c r="HB21" i="16" s="1"/>
  <c r="GC21" i="16"/>
  <c r="GQ21" i="16" s="1"/>
  <c r="GZ17" i="16"/>
  <c r="HB17" i="16" s="1"/>
  <c r="GC17" i="16"/>
  <c r="GQ17" i="16" s="1"/>
  <c r="GZ20" i="16"/>
  <c r="HB20" i="16" s="1"/>
  <c r="GC20" i="16"/>
  <c r="GQ20" i="16" s="1"/>
  <c r="GZ19" i="16"/>
  <c r="HB19" i="16" s="1"/>
  <c r="GC19" i="16"/>
  <c r="GQ19" i="16" s="1"/>
  <c r="GZ18" i="16"/>
  <c r="HB18" i="16" s="1"/>
  <c r="GC18" i="16"/>
  <c r="GQ18" i="16" s="1"/>
  <c r="GZ13" i="16"/>
  <c r="HB13" i="16" s="1"/>
  <c r="GC13" i="16"/>
  <c r="GQ13" i="16" s="1"/>
  <c r="GZ12" i="16"/>
  <c r="HB12" i="16" s="1"/>
  <c r="GC12" i="16"/>
  <c r="GQ12" i="16" s="1"/>
  <c r="GZ26" i="16"/>
  <c r="HB26" i="16" s="1"/>
  <c r="GC26" i="16"/>
  <c r="GQ26" i="16" s="1"/>
  <c r="IU17" i="14"/>
  <c r="IZ17" i="14" s="1"/>
  <c r="HU17" i="14"/>
  <c r="HC17" i="14"/>
  <c r="IS17" i="14" s="1"/>
  <c r="IY17" i="14" s="1"/>
  <c r="HU25" i="14"/>
  <c r="IU25" i="14"/>
  <c r="HC25" i="14"/>
  <c r="IS25" i="14" s="1"/>
  <c r="IY25" i="14" s="1"/>
  <c r="IZ25" i="14" s="1"/>
  <c r="IU12" i="14"/>
  <c r="HU12" i="14"/>
  <c r="HC12" i="14"/>
  <c r="IS12" i="14" s="1"/>
  <c r="IY12" i="14" s="1"/>
  <c r="IZ12" i="14" s="1"/>
  <c r="GB4" i="14"/>
  <c r="EX21" i="14"/>
  <c r="EX17" i="14"/>
  <c r="EX20" i="14"/>
  <c r="EX5" i="14"/>
  <c r="EX10" i="14"/>
  <c r="EX12" i="14"/>
  <c r="EX13" i="14"/>
  <c r="EX6" i="14"/>
  <c r="EX15" i="14"/>
  <c r="EX16" i="14"/>
  <c r="EX18" i="14"/>
  <c r="EX25" i="14"/>
  <c r="EX7" i="14"/>
  <c r="EX9" i="14"/>
  <c r="EX26" i="14"/>
  <c r="EX19" i="14"/>
  <c r="EX14" i="14"/>
  <c r="EX22" i="14"/>
  <c r="EX11" i="14"/>
  <c r="EY28" i="14"/>
  <c r="IU21" i="14"/>
  <c r="HU21" i="14"/>
  <c r="HC21" i="14"/>
  <c r="IS21" i="14" s="1"/>
  <c r="IY21" i="14" s="1"/>
  <c r="IZ21" i="14" s="1"/>
  <c r="GZ11" i="14"/>
  <c r="HB11" i="14" s="1"/>
  <c r="GC11" i="14"/>
  <c r="GQ11" i="14" s="1"/>
  <c r="GZ22" i="14"/>
  <c r="HB22" i="14" s="1"/>
  <c r="GC22" i="14"/>
  <c r="GQ22" i="14" s="1"/>
  <c r="GZ14" i="14"/>
  <c r="HB14" i="14" s="1"/>
  <c r="GC14" i="14"/>
  <c r="GQ14" i="14" s="1"/>
  <c r="GZ19" i="14"/>
  <c r="HB19" i="14" s="1"/>
  <c r="GC19" i="14"/>
  <c r="GQ19" i="14" s="1"/>
  <c r="GZ26" i="14"/>
  <c r="HB26" i="14" s="1"/>
  <c r="GC26" i="14"/>
  <c r="GQ26" i="14" s="1"/>
  <c r="GZ9" i="14"/>
  <c r="HB9" i="14" s="1"/>
  <c r="GC9" i="14"/>
  <c r="GQ9" i="14" s="1"/>
  <c r="GZ6" i="14"/>
  <c r="HB6" i="14" s="1"/>
  <c r="GC6" i="14"/>
  <c r="GQ6" i="14" s="1"/>
  <c r="GZ18" i="14"/>
  <c r="HB18" i="14" s="1"/>
  <c r="GC18" i="14"/>
  <c r="GQ18" i="14" s="1"/>
  <c r="GZ16" i="14"/>
  <c r="HB16" i="14" s="1"/>
  <c r="GC16" i="14"/>
  <c r="GQ16" i="14" s="1"/>
  <c r="GZ15" i="14"/>
  <c r="HB15" i="14" s="1"/>
  <c r="GC15" i="14"/>
  <c r="GQ15" i="14" s="1"/>
  <c r="GZ7" i="14"/>
  <c r="HB7" i="14" s="1"/>
  <c r="GC7" i="14"/>
  <c r="GQ7" i="14" s="1"/>
  <c r="GC10" i="14"/>
  <c r="GQ10" i="14" s="1"/>
  <c r="GZ10" i="14"/>
  <c r="HB10" i="14" s="1"/>
  <c r="GC5" i="14"/>
  <c r="GQ5" i="14" s="1"/>
  <c r="GZ5" i="14"/>
  <c r="HB5" i="14" s="1"/>
  <c r="GC20" i="14"/>
  <c r="GQ20" i="14" s="1"/>
  <c r="GZ20" i="14"/>
  <c r="HB20" i="14" s="1"/>
  <c r="GC13" i="14"/>
  <c r="GQ13" i="14" s="1"/>
  <c r="GZ13" i="14"/>
  <c r="HB13" i="14" s="1"/>
  <c r="EX8" i="14"/>
  <c r="FZ8" i="14"/>
  <c r="EX4" i="14"/>
  <c r="EX28" i="14" s="1"/>
  <c r="EX24" i="14"/>
  <c r="NC12" i="5"/>
  <c r="ND12" i="5" s="1"/>
  <c r="NC32" i="5"/>
  <c r="NC7" i="5"/>
  <c r="ND7" i="5" s="1"/>
  <c r="ND9" i="5"/>
  <c r="ER4" i="8"/>
  <c r="EW4" i="8" s="1"/>
  <c r="GA4" i="8"/>
  <c r="FN4" i="8"/>
  <c r="GP4" i="8" s="1"/>
  <c r="EQ14" i="8"/>
  <c r="ER14" i="8" s="1"/>
  <c r="EW14" i="8" s="1"/>
  <c r="FM14" i="8"/>
  <c r="FL14" i="8"/>
  <c r="EQ19" i="8"/>
  <c r="ER19" i="8" s="1"/>
  <c r="EW19" i="8" s="1"/>
  <c r="FM19" i="8"/>
  <c r="FL19" i="8"/>
  <c r="FM8" i="8"/>
  <c r="GA8" i="8" s="1"/>
  <c r="FL8" i="8"/>
  <c r="EQ8" i="8"/>
  <c r="ER8" i="8" s="1"/>
  <c r="EW8" i="8" s="1"/>
  <c r="FL23" i="8"/>
  <c r="FM23" i="8"/>
  <c r="GA23" i="8" s="1"/>
  <c r="EQ23" i="8"/>
  <c r="ER23" i="8" s="1"/>
  <c r="EW23" i="8" s="1"/>
  <c r="FL17" i="8"/>
  <c r="FM17" i="8"/>
  <c r="EQ17" i="8"/>
  <c r="ER17" i="8" s="1"/>
  <c r="EW17" i="8" s="1"/>
  <c r="EQ7" i="8"/>
  <c r="FL7" i="8"/>
  <c r="FM7" i="8"/>
  <c r="EQ18" i="8"/>
  <c r="ER18" i="8" s="1"/>
  <c r="EW18" i="8" s="1"/>
  <c r="FM18" i="8"/>
  <c r="FL18" i="8"/>
  <c r="EQ22" i="8"/>
  <c r="ER22" i="8" s="1"/>
  <c r="EW22" i="8" s="1"/>
  <c r="FM22" i="8"/>
  <c r="FL22" i="8"/>
  <c r="EQ21" i="8"/>
  <c r="ER21" i="8" s="1"/>
  <c r="EW21" i="8" s="1"/>
  <c r="FM21" i="8"/>
  <c r="FL21" i="8"/>
  <c r="EQ15" i="8"/>
  <c r="ER15" i="8" s="1"/>
  <c r="EW15" i="8" s="1"/>
  <c r="FL15" i="8"/>
  <c r="FM15" i="8"/>
  <c r="EQ11" i="8"/>
  <c r="ER11" i="8" s="1"/>
  <c r="EW11" i="8" s="1"/>
  <c r="FM11" i="8"/>
  <c r="FL11" i="8"/>
  <c r="EQ6" i="8"/>
  <c r="ER6" i="8" s="1"/>
  <c r="EW6" i="8" s="1"/>
  <c r="FM6" i="8"/>
  <c r="FL6" i="8"/>
  <c r="EQ20" i="8"/>
  <c r="ER20" i="8" s="1"/>
  <c r="EW20" i="8" s="1"/>
  <c r="FM20" i="8"/>
  <c r="FL20" i="8"/>
  <c r="EQ5" i="8"/>
  <c r="ER5" i="8" s="1"/>
  <c r="EW5" i="8" s="1"/>
  <c r="FM5" i="8"/>
  <c r="FL5" i="8"/>
  <c r="EQ12" i="8"/>
  <c r="ER12" i="8" s="1"/>
  <c r="EW12" i="8" s="1"/>
  <c r="FL12" i="8"/>
  <c r="FM12" i="8"/>
  <c r="EQ25" i="8"/>
  <c r="ER25" i="8" s="1"/>
  <c r="EW25" i="8" s="1"/>
  <c r="FM25" i="8"/>
  <c r="FL25" i="8"/>
  <c r="EQ13" i="8"/>
  <c r="ER13" i="8" s="1"/>
  <c r="EW13" i="8" s="1"/>
  <c r="FM13" i="8"/>
  <c r="FL13" i="8"/>
  <c r="FM16" i="8"/>
  <c r="EQ16" i="8"/>
  <c r="ER16" i="8" s="1"/>
  <c r="EW16" i="8" s="1"/>
  <c r="FL16" i="8"/>
  <c r="EQ9" i="8"/>
  <c r="ER9" i="8" s="1"/>
  <c r="EW9" i="8" s="1"/>
  <c r="FL9" i="8"/>
  <c r="FM9" i="8"/>
  <c r="EQ26" i="8"/>
  <c r="ER26" i="8" s="1"/>
  <c r="EW26" i="8" s="1"/>
  <c r="FM26" i="8"/>
  <c r="FL26" i="8"/>
  <c r="EQ10" i="8"/>
  <c r="ER10" i="8" s="1"/>
  <c r="EW10" i="8" s="1"/>
  <c r="FM10" i="8"/>
  <c r="FL10" i="8"/>
  <c r="EQ24" i="8"/>
  <c r="ER24" i="8" s="1"/>
  <c r="EW24" i="8" s="1"/>
  <c r="FZ24" i="8" s="1"/>
  <c r="FM24" i="8"/>
  <c r="GA24" i="8" s="1"/>
  <c r="FL24" i="8"/>
  <c r="FL27" i="8"/>
  <c r="EQ27" i="8"/>
  <c r="ER27" i="8" s="1"/>
  <c r="EW27" i="8" s="1"/>
  <c r="FZ27" i="8" s="1"/>
  <c r="FM27" i="8"/>
  <c r="GA27" i="8" s="1"/>
  <c r="JA10" i="20" l="1"/>
  <c r="JB10" i="20" s="1"/>
  <c r="JK10" i="20"/>
  <c r="JU9" i="20" s="1"/>
  <c r="JK14" i="20"/>
  <c r="JU13" i="20" s="1"/>
  <c r="JA14" i="20"/>
  <c r="JB14" i="20" s="1"/>
  <c r="GC4" i="20"/>
  <c r="GQ4" i="20" s="1"/>
  <c r="GZ4" i="20"/>
  <c r="GB28" i="20"/>
  <c r="GQ28" i="20" s="1"/>
  <c r="GO28" i="20"/>
  <c r="IU17" i="20"/>
  <c r="IZ17" i="20" s="1"/>
  <c r="HU17" i="20"/>
  <c r="HC17" i="20"/>
  <c r="IS17" i="20" s="1"/>
  <c r="IY17" i="20" s="1"/>
  <c r="IU6" i="20"/>
  <c r="HU6" i="20"/>
  <c r="HC6" i="20"/>
  <c r="IS6" i="20" s="1"/>
  <c r="IY6" i="20" s="1"/>
  <c r="IZ6" i="20" s="1"/>
  <c r="IU15" i="20"/>
  <c r="IZ15" i="20" s="1"/>
  <c r="HU15" i="20"/>
  <c r="HC15" i="20"/>
  <c r="IU11" i="20"/>
  <c r="HU11" i="20"/>
  <c r="HC11" i="20"/>
  <c r="IS11" i="20" s="1"/>
  <c r="IY11" i="20" s="1"/>
  <c r="IZ11" i="20" s="1"/>
  <c r="IU18" i="20"/>
  <c r="HU18" i="20"/>
  <c r="HC18" i="20"/>
  <c r="IS18" i="20" s="1"/>
  <c r="IY18" i="20" s="1"/>
  <c r="IZ18" i="20" s="1"/>
  <c r="IU19" i="20"/>
  <c r="HU19" i="20"/>
  <c r="HC19" i="20"/>
  <c r="IS19" i="20" s="1"/>
  <c r="IY19" i="20" s="1"/>
  <c r="IZ19" i="20" s="1"/>
  <c r="HU22" i="20"/>
  <c r="HC22" i="20"/>
  <c r="IS22" i="20" s="1"/>
  <c r="IY22" i="20" s="1"/>
  <c r="IZ22" i="20" s="1"/>
  <c r="IU22" i="20"/>
  <c r="IU13" i="20"/>
  <c r="HC13" i="20"/>
  <c r="IS13" i="20" s="1"/>
  <c r="IY13" i="20" s="1"/>
  <c r="IZ13" i="20" s="1"/>
  <c r="HU13" i="20"/>
  <c r="HC21" i="20"/>
  <c r="IS21" i="20" s="1"/>
  <c r="IY21" i="20" s="1"/>
  <c r="IZ21" i="20" s="1"/>
  <c r="HU21" i="20"/>
  <c r="IU21" i="20"/>
  <c r="HU5" i="20"/>
  <c r="HC5" i="20"/>
  <c r="IS5" i="20" s="1"/>
  <c r="IY5" i="20" s="1"/>
  <c r="IZ5" i="20" s="1"/>
  <c r="IU5" i="20"/>
  <c r="HC26" i="20"/>
  <c r="IS26" i="20" s="1"/>
  <c r="IY26" i="20" s="1"/>
  <c r="IZ26" i="20" s="1"/>
  <c r="HU26" i="20"/>
  <c r="IU26" i="20"/>
  <c r="IU25" i="20"/>
  <c r="HC25" i="20"/>
  <c r="IS25" i="20" s="1"/>
  <c r="IY25" i="20" s="1"/>
  <c r="IZ25" i="20" s="1"/>
  <c r="HU25" i="20"/>
  <c r="IU9" i="20"/>
  <c r="HU9" i="20"/>
  <c r="HC9" i="20"/>
  <c r="IS9" i="20" s="1"/>
  <c r="IY9" i="20" s="1"/>
  <c r="IZ9" i="20" s="1"/>
  <c r="IU12" i="20"/>
  <c r="HU12" i="20"/>
  <c r="HC12" i="20"/>
  <c r="IS12" i="20" s="1"/>
  <c r="IY12" i="20" s="1"/>
  <c r="IZ12" i="20" s="1"/>
  <c r="IU7" i="20"/>
  <c r="HU7" i="20"/>
  <c r="HC7" i="20"/>
  <c r="IS7" i="20" s="1"/>
  <c r="IY7" i="20" s="1"/>
  <c r="IZ7" i="20" s="1"/>
  <c r="IU20" i="20"/>
  <c r="HU20" i="20"/>
  <c r="HC20" i="20"/>
  <c r="IS20" i="20" s="1"/>
  <c r="IY20" i="20" s="1"/>
  <c r="IZ20" i="20" s="1"/>
  <c r="IU16" i="20"/>
  <c r="HU16" i="20"/>
  <c r="HC16" i="20"/>
  <c r="IS16" i="20" s="1"/>
  <c r="IY16" i="20" s="1"/>
  <c r="IZ16" i="20" s="1"/>
  <c r="EX28" i="20"/>
  <c r="JA25" i="18"/>
  <c r="JB25" i="18" s="1"/>
  <c r="JK25" i="18"/>
  <c r="JU24" i="18" s="1"/>
  <c r="GC4" i="18"/>
  <c r="GQ4" i="18" s="1"/>
  <c r="GZ4" i="18"/>
  <c r="GB28" i="18"/>
  <c r="GQ28" i="18" s="1"/>
  <c r="GO28" i="18"/>
  <c r="JA22" i="18"/>
  <c r="JB22" i="18" s="1"/>
  <c r="JK22" i="18"/>
  <c r="JU21" i="18" s="1"/>
  <c r="JA7" i="18"/>
  <c r="JB7" i="18" s="1"/>
  <c r="JK7" i="18"/>
  <c r="JU6" i="18" s="1"/>
  <c r="IU14" i="18"/>
  <c r="HU14" i="18"/>
  <c r="HC14" i="18"/>
  <c r="IS14" i="18" s="1"/>
  <c r="IY14" i="18" s="1"/>
  <c r="IZ14" i="18" s="1"/>
  <c r="IU9" i="18"/>
  <c r="HU9" i="18"/>
  <c r="HC9" i="18"/>
  <c r="IS9" i="18" s="1"/>
  <c r="IY9" i="18" s="1"/>
  <c r="IZ9" i="18" s="1"/>
  <c r="IU20" i="18"/>
  <c r="HU20" i="18"/>
  <c r="HC20" i="18"/>
  <c r="IS20" i="18" s="1"/>
  <c r="IY20" i="18" s="1"/>
  <c r="IZ20" i="18" s="1"/>
  <c r="IU17" i="18"/>
  <c r="IZ17" i="18" s="1"/>
  <c r="HU17" i="18"/>
  <c r="HC17" i="18"/>
  <c r="IS17" i="18" s="1"/>
  <c r="IY17" i="18" s="1"/>
  <c r="IU16" i="18"/>
  <c r="HU16" i="18"/>
  <c r="HC16" i="18"/>
  <c r="IS16" i="18" s="1"/>
  <c r="IY16" i="18" s="1"/>
  <c r="IZ16" i="18" s="1"/>
  <c r="IU18" i="18"/>
  <c r="HU18" i="18"/>
  <c r="HC18" i="18"/>
  <c r="IS18" i="18" s="1"/>
  <c r="IY18" i="18" s="1"/>
  <c r="IZ18" i="18" s="1"/>
  <c r="IU10" i="18"/>
  <c r="HU10" i="18"/>
  <c r="HC10" i="18"/>
  <c r="IS10" i="18" s="1"/>
  <c r="IY10" i="18" s="1"/>
  <c r="IZ10" i="18" s="1"/>
  <c r="IU11" i="18"/>
  <c r="HU11" i="18"/>
  <c r="HC11" i="18"/>
  <c r="IS11" i="18" s="1"/>
  <c r="IY11" i="18" s="1"/>
  <c r="IZ11" i="18" s="1"/>
  <c r="HU26" i="18"/>
  <c r="HC26" i="18"/>
  <c r="IS26" i="18" s="1"/>
  <c r="IY26" i="18" s="1"/>
  <c r="IZ26" i="18" s="1"/>
  <c r="IU26" i="18"/>
  <c r="HU21" i="18"/>
  <c r="HC21" i="18"/>
  <c r="IS21" i="18" s="1"/>
  <c r="IY21" i="18" s="1"/>
  <c r="IZ21" i="18" s="1"/>
  <c r="IU21" i="18"/>
  <c r="HU5" i="18"/>
  <c r="IU5" i="18"/>
  <c r="HC5" i="18"/>
  <c r="IS5" i="18" s="1"/>
  <c r="IY5" i="18" s="1"/>
  <c r="IZ5" i="18" s="1"/>
  <c r="IU13" i="18"/>
  <c r="HU13" i="18"/>
  <c r="HC13" i="18"/>
  <c r="IS13" i="18" s="1"/>
  <c r="IY13" i="18" s="1"/>
  <c r="IZ13" i="18" s="1"/>
  <c r="IU15" i="18"/>
  <c r="IZ15" i="18" s="1"/>
  <c r="HU15" i="18"/>
  <c r="HC15" i="18"/>
  <c r="IU19" i="18"/>
  <c r="HU19" i="18"/>
  <c r="HC19" i="18"/>
  <c r="IS19" i="18" s="1"/>
  <c r="IY19" i="18" s="1"/>
  <c r="IZ19" i="18" s="1"/>
  <c r="HC12" i="18"/>
  <c r="IS12" i="18" s="1"/>
  <c r="IY12" i="18" s="1"/>
  <c r="IZ12" i="18" s="1"/>
  <c r="IU12" i="18"/>
  <c r="HU12" i="18"/>
  <c r="HU6" i="18"/>
  <c r="HC6" i="18"/>
  <c r="IS6" i="18" s="1"/>
  <c r="IY6" i="18" s="1"/>
  <c r="IZ6" i="18" s="1"/>
  <c r="IU6" i="18"/>
  <c r="EX28" i="18"/>
  <c r="GC4" i="16"/>
  <c r="GQ4" i="16" s="1"/>
  <c r="GZ4" i="16"/>
  <c r="GB28" i="16"/>
  <c r="GQ28" i="16" s="1"/>
  <c r="GO28" i="16"/>
  <c r="JA15" i="16"/>
  <c r="JB15" i="16" s="1"/>
  <c r="JK15" i="16"/>
  <c r="JU14" i="16" s="1"/>
  <c r="HL5" i="16"/>
  <c r="IS15" i="16"/>
  <c r="IY15" i="16" s="1"/>
  <c r="JA14" i="16"/>
  <c r="JB14" i="16" s="1"/>
  <c r="JK14" i="16"/>
  <c r="JU13" i="16" s="1"/>
  <c r="JA25" i="16"/>
  <c r="JB25" i="16" s="1"/>
  <c r="JK25" i="16"/>
  <c r="JU24" i="16" s="1"/>
  <c r="JA16" i="16"/>
  <c r="JB16" i="16" s="1"/>
  <c r="JK16" i="16"/>
  <c r="JU15" i="16" s="1"/>
  <c r="IU10" i="16"/>
  <c r="HU10" i="16"/>
  <c r="HC10" i="16"/>
  <c r="IS10" i="16" s="1"/>
  <c r="IY10" i="16" s="1"/>
  <c r="IZ10" i="16" s="1"/>
  <c r="IU11" i="16"/>
  <c r="HU11" i="16"/>
  <c r="HC11" i="16"/>
  <c r="IS11" i="16" s="1"/>
  <c r="IY11" i="16" s="1"/>
  <c r="IZ11" i="16" s="1"/>
  <c r="HC7" i="16"/>
  <c r="IS7" i="16" s="1"/>
  <c r="IY7" i="16" s="1"/>
  <c r="IZ7" i="16" s="1"/>
  <c r="IU7" i="16"/>
  <c r="HU7" i="16"/>
  <c r="IU5" i="16"/>
  <c r="HU5" i="16"/>
  <c r="HC5" i="16"/>
  <c r="IS5" i="16" s="1"/>
  <c r="IY5" i="16" s="1"/>
  <c r="IZ5" i="16" s="1"/>
  <c r="IU9" i="16"/>
  <c r="HU9" i="16"/>
  <c r="HC9" i="16"/>
  <c r="IS9" i="16" s="1"/>
  <c r="IY9" i="16" s="1"/>
  <c r="IZ9" i="16" s="1"/>
  <c r="IU6" i="16"/>
  <c r="HU6" i="16"/>
  <c r="HC6" i="16"/>
  <c r="IS6" i="16" s="1"/>
  <c r="IY6" i="16" s="1"/>
  <c r="IZ6" i="16" s="1"/>
  <c r="IU22" i="16"/>
  <c r="HU22" i="16"/>
  <c r="HC22" i="16"/>
  <c r="IS22" i="16" s="1"/>
  <c r="IY22" i="16" s="1"/>
  <c r="IZ22" i="16" s="1"/>
  <c r="IU21" i="16"/>
  <c r="HU21" i="16"/>
  <c r="HC21" i="16"/>
  <c r="IS21" i="16" s="1"/>
  <c r="IY21" i="16" s="1"/>
  <c r="IZ21" i="16" s="1"/>
  <c r="IU17" i="16"/>
  <c r="IZ17" i="16" s="1"/>
  <c r="HU17" i="16"/>
  <c r="HC17" i="16"/>
  <c r="IS17" i="16" s="1"/>
  <c r="IY17" i="16" s="1"/>
  <c r="IU20" i="16"/>
  <c r="HU20" i="16"/>
  <c r="HC20" i="16"/>
  <c r="IS20" i="16" s="1"/>
  <c r="IY20" i="16" s="1"/>
  <c r="IZ20" i="16" s="1"/>
  <c r="IU19" i="16"/>
  <c r="HU19" i="16"/>
  <c r="HC19" i="16"/>
  <c r="IS19" i="16" s="1"/>
  <c r="IY19" i="16" s="1"/>
  <c r="IZ19" i="16" s="1"/>
  <c r="IU18" i="16"/>
  <c r="HU18" i="16"/>
  <c r="HC18" i="16"/>
  <c r="IS18" i="16" s="1"/>
  <c r="IY18" i="16" s="1"/>
  <c r="IZ18" i="16" s="1"/>
  <c r="IU13" i="16"/>
  <c r="HU13" i="16"/>
  <c r="HC13" i="16"/>
  <c r="IS13" i="16" s="1"/>
  <c r="IY13" i="16" s="1"/>
  <c r="IZ13" i="16" s="1"/>
  <c r="IU12" i="16"/>
  <c r="HU12" i="16"/>
  <c r="HC12" i="16"/>
  <c r="IS12" i="16" s="1"/>
  <c r="IY12" i="16" s="1"/>
  <c r="IZ12" i="16" s="1"/>
  <c r="IU26" i="16"/>
  <c r="HU26" i="16"/>
  <c r="HC26" i="16"/>
  <c r="IS26" i="16" s="1"/>
  <c r="IY26" i="16" s="1"/>
  <c r="IZ26" i="16" s="1"/>
  <c r="EX28" i="16"/>
  <c r="JA17" i="14"/>
  <c r="JB17" i="14" s="1"/>
  <c r="JK17" i="14"/>
  <c r="JU16" i="14" s="1"/>
  <c r="JK25" i="14"/>
  <c r="JU24" i="14" s="1"/>
  <c r="JA25" i="14"/>
  <c r="JB25" i="14" s="1"/>
  <c r="JA12" i="14"/>
  <c r="JB12" i="14" s="1"/>
  <c r="JK12" i="14"/>
  <c r="JU11" i="14" s="1"/>
  <c r="GZ4" i="14"/>
  <c r="GC4" i="14"/>
  <c r="GQ4" i="14" s="1"/>
  <c r="JA21" i="14"/>
  <c r="JB21" i="14" s="1"/>
  <c r="JK21" i="14"/>
  <c r="JU20" i="14" s="1"/>
  <c r="IU11" i="14"/>
  <c r="HU11" i="14"/>
  <c r="HC11" i="14"/>
  <c r="IS11" i="14" s="1"/>
  <c r="IY11" i="14" s="1"/>
  <c r="IZ11" i="14" s="1"/>
  <c r="IU22" i="14"/>
  <c r="HU22" i="14"/>
  <c r="HC22" i="14"/>
  <c r="IS22" i="14" s="1"/>
  <c r="IY22" i="14" s="1"/>
  <c r="IZ22" i="14" s="1"/>
  <c r="IU14" i="14"/>
  <c r="HU14" i="14"/>
  <c r="HC14" i="14"/>
  <c r="IS14" i="14" s="1"/>
  <c r="IY14" i="14" s="1"/>
  <c r="IZ14" i="14" s="1"/>
  <c r="IU19" i="14"/>
  <c r="HU19" i="14"/>
  <c r="HC19" i="14"/>
  <c r="IS19" i="14" s="1"/>
  <c r="IY19" i="14" s="1"/>
  <c r="IZ19" i="14" s="1"/>
  <c r="HU26" i="14"/>
  <c r="HC26" i="14"/>
  <c r="IS26" i="14" s="1"/>
  <c r="IY26" i="14" s="1"/>
  <c r="IZ26" i="14" s="1"/>
  <c r="IU26" i="14"/>
  <c r="IU9" i="14"/>
  <c r="HU9" i="14"/>
  <c r="HC9" i="14"/>
  <c r="IS9" i="14" s="1"/>
  <c r="IY9" i="14" s="1"/>
  <c r="IZ9" i="14" s="1"/>
  <c r="IU6" i="14"/>
  <c r="HU6" i="14"/>
  <c r="HC6" i="14"/>
  <c r="IS6" i="14" s="1"/>
  <c r="IY6" i="14" s="1"/>
  <c r="IZ6" i="14" s="1"/>
  <c r="IU18" i="14"/>
  <c r="HU18" i="14"/>
  <c r="HC18" i="14"/>
  <c r="IS18" i="14" s="1"/>
  <c r="IY18" i="14" s="1"/>
  <c r="IZ18" i="14" s="1"/>
  <c r="IU16" i="14"/>
  <c r="HU16" i="14"/>
  <c r="HC16" i="14"/>
  <c r="IS16" i="14" s="1"/>
  <c r="IY16" i="14" s="1"/>
  <c r="IZ16" i="14" s="1"/>
  <c r="IU15" i="14"/>
  <c r="IZ15" i="14" s="1"/>
  <c r="HU15" i="14"/>
  <c r="HC15" i="14"/>
  <c r="IU7" i="14"/>
  <c r="HU7" i="14"/>
  <c r="HC7" i="14"/>
  <c r="IS7" i="14" s="1"/>
  <c r="IY7" i="14" s="1"/>
  <c r="IZ7" i="14" s="1"/>
  <c r="IU10" i="14"/>
  <c r="HU10" i="14"/>
  <c r="HC10" i="14"/>
  <c r="IS10" i="14" s="1"/>
  <c r="IY10" i="14" s="1"/>
  <c r="IZ10" i="14" s="1"/>
  <c r="HC5" i="14"/>
  <c r="IS5" i="14" s="1"/>
  <c r="IY5" i="14" s="1"/>
  <c r="IZ5" i="14" s="1"/>
  <c r="IU5" i="14"/>
  <c r="HU5" i="14"/>
  <c r="IU20" i="14"/>
  <c r="HU20" i="14"/>
  <c r="HC20" i="14"/>
  <c r="IS20" i="14" s="1"/>
  <c r="IY20" i="14" s="1"/>
  <c r="IZ20" i="14" s="1"/>
  <c r="IU13" i="14"/>
  <c r="HU13" i="14"/>
  <c r="HC13" i="14"/>
  <c r="IS13" i="14" s="1"/>
  <c r="IY13" i="14" s="1"/>
  <c r="IZ13" i="14" s="1"/>
  <c r="GB8" i="14"/>
  <c r="GZ8" i="14" s="1"/>
  <c r="FZ28" i="14"/>
  <c r="GB27" i="8"/>
  <c r="GZ27" i="8" s="1"/>
  <c r="HB27" i="8" s="1"/>
  <c r="EY4" i="8"/>
  <c r="GO4" i="8" s="1"/>
  <c r="FZ4" i="8"/>
  <c r="EY14" i="8"/>
  <c r="GO14" i="8" s="1"/>
  <c r="FZ14" i="8"/>
  <c r="FN14" i="8"/>
  <c r="GP14" i="8" s="1"/>
  <c r="GA14" i="8"/>
  <c r="FZ19" i="8"/>
  <c r="EY19" i="8"/>
  <c r="GO19" i="8" s="1"/>
  <c r="GA19" i="8"/>
  <c r="FN19" i="8"/>
  <c r="GP19" i="8" s="1"/>
  <c r="GA17" i="8"/>
  <c r="FN17" i="8"/>
  <c r="GP17" i="8" s="1"/>
  <c r="EY17" i="8"/>
  <c r="GO17" i="8" s="1"/>
  <c r="FZ17" i="8"/>
  <c r="GA7" i="8"/>
  <c r="FN7" i="8"/>
  <c r="GP7" i="8" s="1"/>
  <c r="FZ18" i="8"/>
  <c r="EY18" i="8"/>
  <c r="GO18" i="8" s="1"/>
  <c r="GA18" i="8"/>
  <c r="FN18" i="8"/>
  <c r="GP18" i="8" s="1"/>
  <c r="FZ22" i="8"/>
  <c r="EY22" i="8"/>
  <c r="GO22" i="8" s="1"/>
  <c r="GA22" i="8"/>
  <c r="FN22" i="8"/>
  <c r="GP22" i="8" s="1"/>
  <c r="FZ21" i="8"/>
  <c r="EY21" i="8"/>
  <c r="GO21" i="8" s="1"/>
  <c r="GA21" i="8"/>
  <c r="FN21" i="8"/>
  <c r="GP21" i="8" s="1"/>
  <c r="FZ15" i="8"/>
  <c r="EY15" i="8"/>
  <c r="GO15" i="8" s="1"/>
  <c r="GA15" i="8"/>
  <c r="FN15" i="8"/>
  <c r="GP15" i="8" s="1"/>
  <c r="FZ11" i="8"/>
  <c r="EY11" i="8"/>
  <c r="GO11" i="8" s="1"/>
  <c r="FN11" i="8"/>
  <c r="GP11" i="8" s="1"/>
  <c r="GA11" i="8"/>
  <c r="FZ6" i="8"/>
  <c r="EY6" i="8"/>
  <c r="GO6" i="8" s="1"/>
  <c r="GA6" i="8"/>
  <c r="FN6" i="8"/>
  <c r="GP6" i="8" s="1"/>
  <c r="FZ20" i="8"/>
  <c r="EY20" i="8"/>
  <c r="GO20" i="8" s="1"/>
  <c r="FN20" i="8"/>
  <c r="GP20" i="8" s="1"/>
  <c r="GA20" i="8"/>
  <c r="FZ5" i="8"/>
  <c r="EY5" i="8"/>
  <c r="GO5" i="8" s="1"/>
  <c r="GA5" i="8"/>
  <c r="FN5" i="8"/>
  <c r="GP5" i="8" s="1"/>
  <c r="EY12" i="8"/>
  <c r="GO12" i="8" s="1"/>
  <c r="FZ12" i="8"/>
  <c r="GA12" i="8"/>
  <c r="FN12" i="8"/>
  <c r="GP12" i="8" s="1"/>
  <c r="EY25" i="8"/>
  <c r="GO25" i="8" s="1"/>
  <c r="FZ25" i="8"/>
  <c r="GA25" i="8"/>
  <c r="FN25" i="8"/>
  <c r="GP25" i="8" s="1"/>
  <c r="EY13" i="8"/>
  <c r="GO13" i="8" s="1"/>
  <c r="FZ13" i="8"/>
  <c r="FN13" i="8"/>
  <c r="GP13" i="8" s="1"/>
  <c r="GA13" i="8"/>
  <c r="FN16" i="8"/>
  <c r="GP16" i="8" s="1"/>
  <c r="GA16" i="8"/>
  <c r="FZ16" i="8"/>
  <c r="GB16" i="8" s="1"/>
  <c r="EY16" i="8"/>
  <c r="GO16" i="8" s="1"/>
  <c r="FZ9" i="8"/>
  <c r="EY9" i="8"/>
  <c r="GO9" i="8" s="1"/>
  <c r="GA9" i="8"/>
  <c r="FN9" i="8"/>
  <c r="GP9" i="8" s="1"/>
  <c r="EY26" i="8"/>
  <c r="GO26" i="8" s="1"/>
  <c r="FZ26" i="8"/>
  <c r="GA26" i="8"/>
  <c r="FN26" i="8"/>
  <c r="GP26" i="8" s="1"/>
  <c r="FZ10" i="8"/>
  <c r="EY10" i="8"/>
  <c r="GO10" i="8" s="1"/>
  <c r="GA10" i="8"/>
  <c r="FN10" i="8"/>
  <c r="GP10" i="8" s="1"/>
  <c r="GB24" i="8"/>
  <c r="GZ24" i="8" s="1"/>
  <c r="HB24" i="8" s="1"/>
  <c r="FZ8" i="8"/>
  <c r="GB8" i="8" s="1"/>
  <c r="GZ8" i="8" s="1"/>
  <c r="FZ23" i="8"/>
  <c r="GB23" i="8" s="1"/>
  <c r="GZ23" i="8" s="1"/>
  <c r="ER7" i="8"/>
  <c r="EW7" i="8" s="1"/>
  <c r="EW28" i="8" s="1"/>
  <c r="EQ28" i="8"/>
  <c r="HB4" i="20" l="1"/>
  <c r="GZ28" i="20"/>
  <c r="HB28" i="20" s="1"/>
  <c r="IU28" i="20" s="1"/>
  <c r="JA17" i="20"/>
  <c r="JB17" i="20" s="1"/>
  <c r="JK17" i="20"/>
  <c r="JU16" i="20" s="1"/>
  <c r="JA6" i="20"/>
  <c r="JB6" i="20" s="1"/>
  <c r="JK6" i="20"/>
  <c r="JU5" i="20" s="1"/>
  <c r="JA15" i="20"/>
  <c r="JB15" i="20" s="1"/>
  <c r="JK15" i="20"/>
  <c r="JU14" i="20" s="1"/>
  <c r="HL5" i="20"/>
  <c r="IS15" i="20"/>
  <c r="IY15" i="20" s="1"/>
  <c r="JA11" i="20"/>
  <c r="JB11" i="20" s="1"/>
  <c r="JK11" i="20"/>
  <c r="JU10" i="20" s="1"/>
  <c r="JA18" i="20"/>
  <c r="JB18" i="20" s="1"/>
  <c r="JK18" i="20"/>
  <c r="JU17" i="20" s="1"/>
  <c r="JA19" i="20"/>
  <c r="JB19" i="20" s="1"/>
  <c r="JK19" i="20"/>
  <c r="JU18" i="20" s="1"/>
  <c r="JA22" i="20"/>
  <c r="JB22" i="20" s="1"/>
  <c r="JK22" i="20"/>
  <c r="JU21" i="20" s="1"/>
  <c r="JK13" i="20"/>
  <c r="JU12" i="20" s="1"/>
  <c r="JA13" i="20"/>
  <c r="JB13" i="20" s="1"/>
  <c r="JA21" i="20"/>
  <c r="JB21" i="20" s="1"/>
  <c r="JK21" i="20"/>
  <c r="JU20" i="20" s="1"/>
  <c r="JA5" i="20"/>
  <c r="JB5" i="20" s="1"/>
  <c r="JK5" i="20"/>
  <c r="JU4" i="20" s="1"/>
  <c r="JK26" i="20"/>
  <c r="JU25" i="20" s="1"/>
  <c r="JA26" i="20"/>
  <c r="JB26" i="20" s="1"/>
  <c r="JA25" i="20"/>
  <c r="JB25" i="20" s="1"/>
  <c r="JK25" i="20"/>
  <c r="JU24" i="20" s="1"/>
  <c r="JA9" i="20"/>
  <c r="JB9" i="20" s="1"/>
  <c r="JK9" i="20"/>
  <c r="JU8" i="20" s="1"/>
  <c r="JA12" i="20"/>
  <c r="JB12" i="20" s="1"/>
  <c r="JK12" i="20"/>
  <c r="JU11" i="20" s="1"/>
  <c r="JA7" i="20"/>
  <c r="JB7" i="20" s="1"/>
  <c r="JK7" i="20"/>
  <c r="JU6" i="20" s="1"/>
  <c r="JA20" i="20"/>
  <c r="JB20" i="20" s="1"/>
  <c r="JK20" i="20"/>
  <c r="JU19" i="20" s="1"/>
  <c r="JA16" i="20"/>
  <c r="JB16" i="20" s="1"/>
  <c r="JK16" i="20"/>
  <c r="JU15" i="20" s="1"/>
  <c r="HB4" i="18"/>
  <c r="GZ28" i="18"/>
  <c r="HB28" i="18" s="1"/>
  <c r="IU28" i="18" s="1"/>
  <c r="JA14" i="18"/>
  <c r="JB14" i="18" s="1"/>
  <c r="JK14" i="18"/>
  <c r="JU13" i="18" s="1"/>
  <c r="JA9" i="18"/>
  <c r="JB9" i="18" s="1"/>
  <c r="JK9" i="18"/>
  <c r="JU8" i="18" s="1"/>
  <c r="JA20" i="18"/>
  <c r="JB20" i="18" s="1"/>
  <c r="JK20" i="18"/>
  <c r="JU19" i="18" s="1"/>
  <c r="JA17" i="18"/>
  <c r="JB17" i="18" s="1"/>
  <c r="JK17" i="18"/>
  <c r="JU16" i="18" s="1"/>
  <c r="JA16" i="18"/>
  <c r="JB16" i="18" s="1"/>
  <c r="JK16" i="18"/>
  <c r="JU15" i="18" s="1"/>
  <c r="JA18" i="18"/>
  <c r="JB18" i="18" s="1"/>
  <c r="JK18" i="18"/>
  <c r="JU17" i="18" s="1"/>
  <c r="JA10" i="18"/>
  <c r="JB10" i="18" s="1"/>
  <c r="JK10" i="18"/>
  <c r="JU9" i="18" s="1"/>
  <c r="JA11" i="18"/>
  <c r="JB11" i="18" s="1"/>
  <c r="JK11" i="18"/>
  <c r="JU10" i="18" s="1"/>
  <c r="JA26" i="18"/>
  <c r="JB26" i="18" s="1"/>
  <c r="JK26" i="18"/>
  <c r="JU25" i="18" s="1"/>
  <c r="JA21" i="18"/>
  <c r="JB21" i="18" s="1"/>
  <c r="JK21" i="18"/>
  <c r="JU20" i="18" s="1"/>
  <c r="JK5" i="18"/>
  <c r="JU4" i="18" s="1"/>
  <c r="JA5" i="18"/>
  <c r="JB5" i="18" s="1"/>
  <c r="JA13" i="18"/>
  <c r="JB13" i="18" s="1"/>
  <c r="JK13" i="18"/>
  <c r="JU12" i="18" s="1"/>
  <c r="JA15" i="18"/>
  <c r="JB15" i="18" s="1"/>
  <c r="JK15" i="18"/>
  <c r="JU14" i="18" s="1"/>
  <c r="HL5" i="18"/>
  <c r="IS15" i="18"/>
  <c r="IY15" i="18" s="1"/>
  <c r="JA19" i="18"/>
  <c r="JB19" i="18" s="1"/>
  <c r="JK19" i="18"/>
  <c r="JU18" i="18" s="1"/>
  <c r="JA12" i="18"/>
  <c r="JB12" i="18" s="1"/>
  <c r="JK12" i="18"/>
  <c r="JU11" i="18" s="1"/>
  <c r="JK6" i="18"/>
  <c r="JU5" i="18" s="1"/>
  <c r="JA6" i="18"/>
  <c r="JB6" i="18" s="1"/>
  <c r="HB4" i="16"/>
  <c r="GZ28" i="16"/>
  <c r="HB28" i="16" s="1"/>
  <c r="IU28" i="16" s="1"/>
  <c r="JA10" i="16"/>
  <c r="JB10" i="16" s="1"/>
  <c r="JK10" i="16"/>
  <c r="JU9" i="16" s="1"/>
  <c r="JA11" i="16"/>
  <c r="JB11" i="16" s="1"/>
  <c r="JK11" i="16"/>
  <c r="JU10" i="16" s="1"/>
  <c r="JA7" i="16"/>
  <c r="JB7" i="16" s="1"/>
  <c r="JK7" i="16"/>
  <c r="JU6" i="16" s="1"/>
  <c r="JA5" i="16"/>
  <c r="JB5" i="16" s="1"/>
  <c r="JK5" i="16"/>
  <c r="JU4" i="16" s="1"/>
  <c r="JA9" i="16"/>
  <c r="JB9" i="16" s="1"/>
  <c r="JK9" i="16"/>
  <c r="JU8" i="16" s="1"/>
  <c r="JA6" i="16"/>
  <c r="JB6" i="16" s="1"/>
  <c r="JK6" i="16"/>
  <c r="JU5" i="16" s="1"/>
  <c r="JK22" i="16"/>
  <c r="JU21" i="16" s="1"/>
  <c r="JA22" i="16"/>
  <c r="JB22" i="16" s="1"/>
  <c r="JA21" i="16"/>
  <c r="JB21" i="16" s="1"/>
  <c r="JK21" i="16"/>
  <c r="JU20" i="16" s="1"/>
  <c r="JA17" i="16"/>
  <c r="JB17" i="16" s="1"/>
  <c r="JK17" i="16"/>
  <c r="JU16" i="16" s="1"/>
  <c r="JA20" i="16"/>
  <c r="JB20" i="16" s="1"/>
  <c r="JK20" i="16"/>
  <c r="JU19" i="16" s="1"/>
  <c r="JA19" i="16"/>
  <c r="JB19" i="16" s="1"/>
  <c r="JK19" i="16"/>
  <c r="JU18" i="16" s="1"/>
  <c r="JA18" i="16"/>
  <c r="JB18" i="16" s="1"/>
  <c r="JK18" i="16"/>
  <c r="JU17" i="16" s="1"/>
  <c r="JA13" i="16"/>
  <c r="JB13" i="16" s="1"/>
  <c r="JK13" i="16"/>
  <c r="JU12" i="16" s="1"/>
  <c r="JA12" i="16"/>
  <c r="JB12" i="16" s="1"/>
  <c r="JK12" i="16"/>
  <c r="JU11" i="16" s="1"/>
  <c r="JA26" i="16"/>
  <c r="JB26" i="16" s="1"/>
  <c r="JK26" i="16"/>
  <c r="JU25" i="16" s="1"/>
  <c r="HB4" i="14"/>
  <c r="GZ28" i="14"/>
  <c r="HB28" i="14" s="1"/>
  <c r="IU28" i="14" s="1"/>
  <c r="JA11" i="14"/>
  <c r="JB11" i="14" s="1"/>
  <c r="JK11" i="14"/>
  <c r="JU10" i="14" s="1"/>
  <c r="JA22" i="14"/>
  <c r="JB22" i="14" s="1"/>
  <c r="JK22" i="14"/>
  <c r="JU21" i="14" s="1"/>
  <c r="JA14" i="14"/>
  <c r="JB14" i="14" s="1"/>
  <c r="JK14" i="14"/>
  <c r="JU13" i="14" s="1"/>
  <c r="JA19" i="14"/>
  <c r="JB19" i="14" s="1"/>
  <c r="JK19" i="14"/>
  <c r="JU18" i="14" s="1"/>
  <c r="JK26" i="14"/>
  <c r="JU25" i="14" s="1"/>
  <c r="JA26" i="14"/>
  <c r="JB26" i="14" s="1"/>
  <c r="JA9" i="14"/>
  <c r="JB9" i="14" s="1"/>
  <c r="JK9" i="14"/>
  <c r="JU8" i="14" s="1"/>
  <c r="JA6" i="14"/>
  <c r="JB6" i="14" s="1"/>
  <c r="JK6" i="14"/>
  <c r="JU5" i="14" s="1"/>
  <c r="JA18" i="14"/>
  <c r="JB18" i="14" s="1"/>
  <c r="JK18" i="14"/>
  <c r="JU17" i="14" s="1"/>
  <c r="JA16" i="14"/>
  <c r="JB16" i="14" s="1"/>
  <c r="JK16" i="14"/>
  <c r="JU15" i="14" s="1"/>
  <c r="JA15" i="14"/>
  <c r="JB15" i="14" s="1"/>
  <c r="JK15" i="14"/>
  <c r="JU14" i="14" s="1"/>
  <c r="HL5" i="14"/>
  <c r="IS15" i="14"/>
  <c r="IY15" i="14" s="1"/>
  <c r="JA7" i="14"/>
  <c r="JB7" i="14" s="1"/>
  <c r="JK7" i="14"/>
  <c r="JU6" i="14" s="1"/>
  <c r="JA10" i="14"/>
  <c r="JB10" i="14" s="1"/>
  <c r="JK10" i="14"/>
  <c r="JU9" i="14" s="1"/>
  <c r="JA5" i="14"/>
  <c r="JB5" i="14" s="1"/>
  <c r="JK5" i="14"/>
  <c r="JU4" i="14" s="1"/>
  <c r="JA20" i="14"/>
  <c r="JB20" i="14" s="1"/>
  <c r="JK20" i="14"/>
  <c r="JU19" i="14" s="1"/>
  <c r="JA13" i="14"/>
  <c r="JB13" i="14" s="1"/>
  <c r="JK13" i="14"/>
  <c r="JU12" i="14" s="1"/>
  <c r="GO28" i="14"/>
  <c r="GB28" i="14"/>
  <c r="GQ28" i="14" s="1"/>
  <c r="GB17" i="8"/>
  <c r="GB6" i="8"/>
  <c r="HU27" i="8"/>
  <c r="IU27" i="8"/>
  <c r="IZ27" i="8" s="1"/>
  <c r="HC27" i="8"/>
  <c r="IS27" i="8" s="1"/>
  <c r="IY27" i="8" s="1"/>
  <c r="GB18" i="8"/>
  <c r="EX15" i="8"/>
  <c r="EX21" i="8"/>
  <c r="EX22" i="8"/>
  <c r="EX18" i="8"/>
  <c r="EX17" i="8"/>
  <c r="EX19" i="8"/>
  <c r="EX14" i="8"/>
  <c r="EX10" i="8"/>
  <c r="EX25" i="8"/>
  <c r="EX26" i="8"/>
  <c r="EX11" i="8"/>
  <c r="EX13" i="8"/>
  <c r="EX16" i="8"/>
  <c r="EY28" i="8"/>
  <c r="EX20" i="8"/>
  <c r="EX24" i="8"/>
  <c r="EX9" i="8"/>
  <c r="EX6" i="8"/>
  <c r="EX5" i="8"/>
  <c r="EX27" i="8"/>
  <c r="EX12" i="8"/>
  <c r="EX4" i="8"/>
  <c r="GB4" i="8"/>
  <c r="GZ16" i="8"/>
  <c r="HB16" i="8" s="1"/>
  <c r="GC16" i="8"/>
  <c r="GQ16" i="8" s="1"/>
  <c r="IU24" i="8"/>
  <c r="IZ24" i="8" s="1"/>
  <c r="HU24" i="8"/>
  <c r="HC24" i="8"/>
  <c r="IS24" i="8" s="1"/>
  <c r="IY24" i="8" s="1"/>
  <c r="EY7" i="8"/>
  <c r="GO7" i="8" s="1"/>
  <c r="FZ7" i="8"/>
  <c r="EX7" i="8"/>
  <c r="GB21" i="8"/>
  <c r="GB15" i="8"/>
  <c r="GB11" i="8"/>
  <c r="GB26" i="8"/>
  <c r="GB20" i="8"/>
  <c r="GB5" i="8"/>
  <c r="GA28" i="8"/>
  <c r="GP28" i="8" s="1"/>
  <c r="GB12" i="8"/>
  <c r="GB25" i="8"/>
  <c r="GB13" i="8"/>
  <c r="GB9" i="8"/>
  <c r="GB10" i="8"/>
  <c r="GB14" i="8"/>
  <c r="GB19" i="8"/>
  <c r="GB22" i="8"/>
  <c r="EX8" i="8"/>
  <c r="EX23" i="8"/>
  <c r="IU4" i="20" l="1"/>
  <c r="HU4" i="20"/>
  <c r="HU28" i="20" s="1"/>
  <c r="IG4" i="20" s="1"/>
  <c r="IH4" i="20" s="1"/>
  <c r="HC4" i="20"/>
  <c r="IU4" i="18"/>
  <c r="HU4" i="18"/>
  <c r="HU28" i="18" s="1"/>
  <c r="IG4" i="18" s="1"/>
  <c r="IH4" i="18" s="1"/>
  <c r="HC4" i="18"/>
  <c r="IU4" i="16"/>
  <c r="HU4" i="16"/>
  <c r="HU28" i="16" s="1"/>
  <c r="IG4" i="16" s="1"/>
  <c r="IH4" i="16" s="1"/>
  <c r="HC4" i="16"/>
  <c r="HC4" i="14"/>
  <c r="HU4" i="14"/>
  <c r="HU28" i="14" s="1"/>
  <c r="IG4" i="14" s="1"/>
  <c r="IH4" i="14" s="1"/>
  <c r="IU4" i="14"/>
  <c r="GC17" i="8"/>
  <c r="GQ17" i="8" s="1"/>
  <c r="GZ17" i="8"/>
  <c r="HB17" i="8" s="1"/>
  <c r="GC6" i="8"/>
  <c r="GQ6" i="8" s="1"/>
  <c r="GZ6" i="8"/>
  <c r="HB6" i="8" s="1"/>
  <c r="JK27" i="8"/>
  <c r="JU26" i="8" s="1"/>
  <c r="JA27" i="8"/>
  <c r="JB27" i="8" s="1"/>
  <c r="GZ18" i="8"/>
  <c r="HB18" i="8" s="1"/>
  <c r="GC18" i="8"/>
  <c r="GQ18" i="8" s="1"/>
  <c r="GZ4" i="8"/>
  <c r="GC4" i="8"/>
  <c r="GQ4" i="8" s="1"/>
  <c r="HC16" i="8"/>
  <c r="IS16" i="8" s="1"/>
  <c r="IY16" i="8" s="1"/>
  <c r="IZ16" i="8" s="1"/>
  <c r="HU16" i="8"/>
  <c r="IU16" i="8"/>
  <c r="JB24" i="8"/>
  <c r="JK24" i="8"/>
  <c r="JU23" i="8" s="1"/>
  <c r="GZ21" i="8"/>
  <c r="HB21" i="8" s="1"/>
  <c r="GC21" i="8"/>
  <c r="GQ21" i="8" s="1"/>
  <c r="GC15" i="8"/>
  <c r="GQ15" i="8" s="1"/>
  <c r="GZ15" i="8"/>
  <c r="HB15" i="8" s="1"/>
  <c r="GZ11" i="8"/>
  <c r="HB11" i="8" s="1"/>
  <c r="GC11" i="8"/>
  <c r="GQ11" i="8" s="1"/>
  <c r="GC26" i="8"/>
  <c r="GQ26" i="8" s="1"/>
  <c r="GZ26" i="8"/>
  <c r="HB26" i="8" s="1"/>
  <c r="GZ20" i="8"/>
  <c r="HB20" i="8" s="1"/>
  <c r="GC20" i="8"/>
  <c r="GQ20" i="8" s="1"/>
  <c r="GZ5" i="8"/>
  <c r="HB5" i="8" s="1"/>
  <c r="GC5" i="8"/>
  <c r="GQ5" i="8" s="1"/>
  <c r="GC12" i="8"/>
  <c r="GQ12" i="8" s="1"/>
  <c r="GZ12" i="8"/>
  <c r="HB12" i="8" s="1"/>
  <c r="GZ25" i="8"/>
  <c r="HB25" i="8" s="1"/>
  <c r="GC25" i="8"/>
  <c r="GQ25" i="8" s="1"/>
  <c r="GC13" i="8"/>
  <c r="GQ13" i="8" s="1"/>
  <c r="GZ13" i="8"/>
  <c r="HB13" i="8" s="1"/>
  <c r="GC9" i="8"/>
  <c r="GQ9" i="8" s="1"/>
  <c r="GZ9" i="8"/>
  <c r="HB9" i="8" s="1"/>
  <c r="GZ10" i="8"/>
  <c r="HB10" i="8" s="1"/>
  <c r="GC10" i="8"/>
  <c r="GQ10" i="8" s="1"/>
  <c r="GZ14" i="8"/>
  <c r="HB14" i="8" s="1"/>
  <c r="GC14" i="8"/>
  <c r="GQ14" i="8" s="1"/>
  <c r="GC19" i="8"/>
  <c r="GQ19" i="8" s="1"/>
  <c r="GZ19" i="8"/>
  <c r="HB19" i="8" s="1"/>
  <c r="GC22" i="8"/>
  <c r="GQ22" i="8" s="1"/>
  <c r="GZ22" i="8"/>
  <c r="HB22" i="8" s="1"/>
  <c r="EX28" i="8"/>
  <c r="GB7" i="8"/>
  <c r="FZ28" i="8"/>
  <c r="HL4" i="20" l="1"/>
  <c r="HL6" i="20" s="1"/>
  <c r="IS4" i="20"/>
  <c r="HC28" i="20"/>
  <c r="HC29" i="20" s="1"/>
  <c r="HL4" i="18"/>
  <c r="HL6" i="18" s="1"/>
  <c r="IS4" i="18"/>
  <c r="HC28" i="18"/>
  <c r="HC29" i="18" s="1"/>
  <c r="HL4" i="16"/>
  <c r="HL6" i="16" s="1"/>
  <c r="IS4" i="16"/>
  <c r="HC28" i="16"/>
  <c r="HC29" i="16" s="1"/>
  <c r="HC28" i="14"/>
  <c r="HC29" i="14" s="1"/>
  <c r="HL4" i="14"/>
  <c r="HL6" i="14" s="1"/>
  <c r="IS4" i="14"/>
  <c r="HC18" i="8"/>
  <c r="IS18" i="8" s="1"/>
  <c r="IY18" i="8" s="1"/>
  <c r="IZ18" i="8" s="1"/>
  <c r="IU18" i="8"/>
  <c r="HU18" i="8"/>
  <c r="HC17" i="8"/>
  <c r="IS17" i="8" s="1"/>
  <c r="IY17" i="8" s="1"/>
  <c r="HU17" i="8"/>
  <c r="IU17" i="8"/>
  <c r="IZ17" i="8" s="1"/>
  <c r="HC6" i="8"/>
  <c r="IS6" i="8" s="1"/>
  <c r="IY6" i="8" s="1"/>
  <c r="IZ6" i="8" s="1"/>
  <c r="HU6" i="8"/>
  <c r="IU6" i="8"/>
  <c r="HB4" i="8"/>
  <c r="JA17" i="8"/>
  <c r="JB17" i="8" s="1"/>
  <c r="JK17" i="8"/>
  <c r="JU16" i="8" s="1"/>
  <c r="JK18" i="8"/>
  <c r="JU17" i="8" s="1"/>
  <c r="JA18" i="8"/>
  <c r="JB18" i="8" s="1"/>
  <c r="JA16" i="8"/>
  <c r="JB16" i="8" s="1"/>
  <c r="JK16" i="8"/>
  <c r="JU15" i="8" s="1"/>
  <c r="HC21" i="8"/>
  <c r="IS21" i="8" s="1"/>
  <c r="IY21" i="8" s="1"/>
  <c r="IZ21" i="8" s="1"/>
  <c r="HU21" i="8"/>
  <c r="IU21" i="8"/>
  <c r="HC15" i="8"/>
  <c r="HU15" i="8"/>
  <c r="IU15" i="8"/>
  <c r="IZ15" i="8" s="1"/>
  <c r="IU11" i="8"/>
  <c r="HC11" i="8"/>
  <c r="IS11" i="8" s="1"/>
  <c r="IY11" i="8" s="1"/>
  <c r="IZ11" i="8" s="1"/>
  <c r="HU11" i="8"/>
  <c r="HC26" i="8"/>
  <c r="IS26" i="8" s="1"/>
  <c r="IY26" i="8" s="1"/>
  <c r="IZ26" i="8" s="1"/>
  <c r="HU26" i="8"/>
  <c r="IU26" i="8"/>
  <c r="IU20" i="8"/>
  <c r="HU20" i="8"/>
  <c r="HC20" i="8"/>
  <c r="IS20" i="8" s="1"/>
  <c r="IY20" i="8" s="1"/>
  <c r="IZ20" i="8" s="1"/>
  <c r="HU5" i="8"/>
  <c r="IU5" i="8"/>
  <c r="HC5" i="8"/>
  <c r="IS5" i="8" s="1"/>
  <c r="IY5" i="8" s="1"/>
  <c r="IZ5" i="8" s="1"/>
  <c r="HC12" i="8"/>
  <c r="IS12" i="8" s="1"/>
  <c r="IY12" i="8" s="1"/>
  <c r="IZ12" i="8" s="1"/>
  <c r="HU12" i="8"/>
  <c r="IU12" i="8"/>
  <c r="HU25" i="8"/>
  <c r="HC25" i="8"/>
  <c r="IS25" i="8" s="1"/>
  <c r="IY25" i="8" s="1"/>
  <c r="IZ25" i="8" s="1"/>
  <c r="IU25" i="8"/>
  <c r="HC13" i="8"/>
  <c r="IS13" i="8" s="1"/>
  <c r="IY13" i="8" s="1"/>
  <c r="IZ13" i="8" s="1"/>
  <c r="IU13" i="8"/>
  <c r="HU13" i="8"/>
  <c r="IU9" i="8"/>
  <c r="HC9" i="8"/>
  <c r="IS9" i="8" s="1"/>
  <c r="IY9" i="8" s="1"/>
  <c r="IZ9" i="8" s="1"/>
  <c r="HU9" i="8"/>
  <c r="HC10" i="8"/>
  <c r="IS10" i="8" s="1"/>
  <c r="IY10" i="8" s="1"/>
  <c r="IZ10" i="8" s="1"/>
  <c r="HU10" i="8"/>
  <c r="IU10" i="8"/>
  <c r="HC14" i="8"/>
  <c r="IS14" i="8" s="1"/>
  <c r="IY14" i="8" s="1"/>
  <c r="IZ14" i="8" s="1"/>
  <c r="HU14" i="8"/>
  <c r="IU14" i="8"/>
  <c r="HC19" i="8"/>
  <c r="IS19" i="8" s="1"/>
  <c r="IY19" i="8" s="1"/>
  <c r="IZ19" i="8" s="1"/>
  <c r="IU19" i="8"/>
  <c r="HU19" i="8"/>
  <c r="HC22" i="8"/>
  <c r="IS22" i="8" s="1"/>
  <c r="IY22" i="8" s="1"/>
  <c r="IZ22" i="8" s="1"/>
  <c r="HU22" i="8"/>
  <c r="IU22" i="8"/>
  <c r="GC7" i="8"/>
  <c r="GQ7" i="8" s="1"/>
  <c r="GZ7" i="8"/>
  <c r="GB28" i="8"/>
  <c r="GQ28" i="8" s="1"/>
  <c r="GO28" i="8"/>
  <c r="IY4" i="20" l="1"/>
  <c r="IS28" i="20"/>
  <c r="IY4" i="18"/>
  <c r="IS28" i="18"/>
  <c r="IY4" i="16"/>
  <c r="IS28" i="16"/>
  <c r="IY4" i="14"/>
  <c r="IS28" i="14"/>
  <c r="JK6" i="8"/>
  <c r="JU5" i="8" s="1"/>
  <c r="JA6" i="8"/>
  <c r="JB6" i="8" s="1"/>
  <c r="HC4" i="8"/>
  <c r="HU4" i="8"/>
  <c r="IU4" i="8"/>
  <c r="JA21" i="8"/>
  <c r="JB21" i="8" s="1"/>
  <c r="JK21" i="8"/>
  <c r="JU20" i="8" s="1"/>
  <c r="HL5" i="8"/>
  <c r="IS15" i="8"/>
  <c r="IY15" i="8" s="1"/>
  <c r="JK15" i="8"/>
  <c r="JU14" i="8" s="1"/>
  <c r="JA15" i="8"/>
  <c r="JB15" i="8" s="1"/>
  <c r="JA11" i="8"/>
  <c r="JB11" i="8" s="1"/>
  <c r="JK11" i="8"/>
  <c r="JU10" i="8" s="1"/>
  <c r="JK26" i="8"/>
  <c r="JU25" i="8" s="1"/>
  <c r="JA26" i="8"/>
  <c r="JB26" i="8" s="1"/>
  <c r="JK20" i="8"/>
  <c r="JU19" i="8" s="1"/>
  <c r="JA20" i="8"/>
  <c r="JB20" i="8" s="1"/>
  <c r="JA5" i="8"/>
  <c r="JB5" i="8" s="1"/>
  <c r="JK5" i="8"/>
  <c r="JU4" i="8" s="1"/>
  <c r="JK12" i="8"/>
  <c r="JU11" i="8" s="1"/>
  <c r="JA12" i="8"/>
  <c r="JB12" i="8" s="1"/>
  <c r="JK25" i="8"/>
  <c r="JU24" i="8" s="1"/>
  <c r="JA25" i="8"/>
  <c r="JB25" i="8" s="1"/>
  <c r="JK13" i="8"/>
  <c r="JU12" i="8" s="1"/>
  <c r="JA13" i="8"/>
  <c r="JB13" i="8" s="1"/>
  <c r="JA9" i="8"/>
  <c r="JB9" i="8" s="1"/>
  <c r="JK9" i="8"/>
  <c r="JU8" i="8" s="1"/>
  <c r="JK10" i="8"/>
  <c r="JU9" i="8" s="1"/>
  <c r="JA10" i="8"/>
  <c r="JB10" i="8" s="1"/>
  <c r="JA14" i="8"/>
  <c r="JB14" i="8" s="1"/>
  <c r="JK14" i="8"/>
  <c r="JU13" i="8" s="1"/>
  <c r="JK19" i="8"/>
  <c r="JU18" i="8" s="1"/>
  <c r="JA19" i="8"/>
  <c r="JB19" i="8" s="1"/>
  <c r="JA22" i="8"/>
  <c r="JB22" i="8" s="1"/>
  <c r="JK22" i="8"/>
  <c r="JU21" i="8" s="1"/>
  <c r="HB7" i="8"/>
  <c r="GZ28" i="8"/>
  <c r="HB28" i="8" s="1"/>
  <c r="IU28" i="8" s="1"/>
  <c r="IZ4" i="20" l="1"/>
  <c r="IY28" i="20"/>
  <c r="IZ28" i="20" s="1"/>
  <c r="JK28" i="20" s="1"/>
  <c r="JU27" i="20" s="1"/>
  <c r="IZ4" i="18"/>
  <c r="IY28" i="18"/>
  <c r="IZ28" i="18" s="1"/>
  <c r="JK28" i="18" s="1"/>
  <c r="JU27" i="18" s="1"/>
  <c r="IZ4" i="16"/>
  <c r="IY28" i="16"/>
  <c r="IZ28" i="16" s="1"/>
  <c r="JK28" i="16" s="1"/>
  <c r="JU27" i="16" s="1"/>
  <c r="IY28" i="14"/>
  <c r="IZ28" i="14" s="1"/>
  <c r="JK28" i="14" s="1"/>
  <c r="JU27" i="14" s="1"/>
  <c r="IZ4" i="14"/>
  <c r="IS4" i="8"/>
  <c r="IU7" i="8"/>
  <c r="HU7" i="8"/>
  <c r="HU28" i="8" s="1"/>
  <c r="IG4" i="8" s="1"/>
  <c r="IH4" i="8" s="1"/>
  <c r="HC7" i="8"/>
  <c r="HC28" i="8" s="1"/>
  <c r="HC29" i="8" s="1"/>
  <c r="JA4" i="20" l="1"/>
  <c r="JK4" i="20"/>
  <c r="JU3" i="20" s="1"/>
  <c r="JY4" i="20" s="1"/>
  <c r="JY5" i="20" s="1"/>
  <c r="JA4" i="18"/>
  <c r="JK4" i="18"/>
  <c r="JU3" i="18" s="1"/>
  <c r="JY4" i="18" s="1"/>
  <c r="JY5" i="18" s="1"/>
  <c r="JA4" i="16"/>
  <c r="JK4" i="16"/>
  <c r="JU3" i="16" s="1"/>
  <c r="JY4" i="16" s="1"/>
  <c r="JY5" i="16" s="1"/>
  <c r="JA4" i="14"/>
  <c r="JK4" i="14"/>
  <c r="JU3" i="14" s="1"/>
  <c r="JY4" i="14" s="1"/>
  <c r="JY5" i="14" s="1"/>
  <c r="IY4" i="8"/>
  <c r="IS7" i="8"/>
  <c r="HL4" i="8"/>
  <c r="JB4" i="20" l="1"/>
  <c r="JA28" i="20"/>
  <c r="JA28" i="18"/>
  <c r="JB4" i="18"/>
  <c r="JB4" i="16"/>
  <c r="JA28" i="16"/>
  <c r="JA28" i="14"/>
  <c r="JB4" i="14"/>
  <c r="IY7" i="8"/>
  <c r="IS28" i="8"/>
  <c r="IZ4" i="8"/>
  <c r="IZ7" i="8" l="1"/>
  <c r="JA7" i="8" s="1"/>
  <c r="JB7" i="8" s="1"/>
  <c r="IY28" i="8"/>
  <c r="IZ28" i="8" s="1"/>
  <c r="JK28" i="8" s="1"/>
  <c r="JU27" i="8" s="1"/>
  <c r="JK7" i="8"/>
  <c r="JU6" i="8" s="1"/>
  <c r="JA4" i="8"/>
  <c r="JK4" i="8"/>
  <c r="JU3" i="8" s="1"/>
  <c r="JA28" i="8" l="1"/>
  <c r="JY5" i="8"/>
  <c r="Y28" i="8" l="1"/>
  <c r="Y29" i="8" s="1"/>
</calcChain>
</file>

<file path=xl/sharedStrings.xml><?xml version="1.0" encoding="utf-8"?>
<sst xmlns="http://schemas.openxmlformats.org/spreadsheetml/2006/main" count="8609" uniqueCount="463">
  <si>
    <t>Schedule 1: Adjustments Summary</t>
  </si>
  <si>
    <t>Schedule 1a: Net Income Summary</t>
  </si>
  <si>
    <t>Schedule 1b: Labour Efficiency and Cost Summary</t>
  </si>
  <si>
    <t>Schedule 1c: Previous Year Summary</t>
  </si>
  <si>
    <t>Schedule 2: Direct Labour</t>
  </si>
  <si>
    <t>Schedule 3: Collector Labour</t>
  </si>
  <si>
    <t>Schedule 4: Overhead Labour</t>
  </si>
  <si>
    <t>Schedule 5: Building Costs</t>
  </si>
  <si>
    <t>Schedule 6: Equipment Costs</t>
  </si>
  <si>
    <t>Schedule 7: Vehicle Costs</t>
  </si>
  <si>
    <t>Schedule 8: Overhead Costs</t>
  </si>
  <si>
    <t>Schedule 9a: COVID Subsidies</t>
  </si>
  <si>
    <t>Schedule 9b: COVID Payment Deferrals</t>
  </si>
  <si>
    <t>Schedule 9c: Miscellaneous Revenue</t>
  </si>
  <si>
    <t>Schedule 10: Revenue</t>
  </si>
  <si>
    <t>Schedule 10a: Calculation of Ratios</t>
  </si>
  <si>
    <t>Schedule 10b: Revenues</t>
  </si>
  <si>
    <t>Schedule 10c: Total System Costs</t>
  </si>
  <si>
    <t>Schedule 11a: Calculation of Ratios</t>
  </si>
  <si>
    <t>Schedule 11b: Revenues</t>
  </si>
  <si>
    <t>Schedule 11c: Target Year Costs</t>
  </si>
  <si>
    <t>Schedule 11d: Net Income Calculations</t>
  </si>
  <si>
    <t>Schedule 11e: Total Return Calculation</t>
  </si>
  <si>
    <t xml:space="preserve"> Schedule 12: Target Year Revenue Requirement</t>
  </si>
  <si>
    <t>Schedule 13: Comparison to Previous HCR</t>
  </si>
  <si>
    <t>2022 Fiscal Year As Accepted</t>
  </si>
  <si>
    <t>2022 Fiscal Year As Adjusted</t>
  </si>
  <si>
    <t>Total System</t>
  </si>
  <si>
    <t>Target System (Current HC)</t>
  </si>
  <si>
    <t>Total Change</t>
  </si>
  <si>
    <t>2004 Fiscal Year As Reported</t>
  </si>
  <si>
    <t>2005 Fiscal Year As Reported</t>
  </si>
  <si>
    <t>2006 Fiscal Year As Reported</t>
  </si>
  <si>
    <t>2007 Fiscal Year As Reported</t>
  </si>
  <si>
    <t>2008 Fiscal Year As Reported</t>
  </si>
  <si>
    <t>2009/10 Fiscal Year As Reported</t>
  </si>
  <si>
    <t>2012/13 Fiscal Year As Reported</t>
  </si>
  <si>
    <t>2015 Fiscal Year As Reported</t>
  </si>
  <si>
    <t>2020 Fiscal Year As Accepted</t>
  </si>
  <si>
    <t>2021 Fiscal Year As Accepted</t>
  </si>
  <si>
    <t>Per Container or Hour</t>
  </si>
  <si>
    <t>2022 Fiscal Year As Adjusted 
(After Collections Cost Cap)</t>
  </si>
  <si>
    <t>Miscellaneous Revenue</t>
  </si>
  <si>
    <t>Deposits</t>
  </si>
  <si>
    <t>Handling Commissions</t>
  </si>
  <si>
    <t>Depot Viability Handling Commissions</t>
  </si>
  <si>
    <t>Total Revenue</t>
  </si>
  <si>
    <t>Direct Labour</t>
  </si>
  <si>
    <t>Collector Labour</t>
  </si>
  <si>
    <t>Overhead Labour</t>
  </si>
  <si>
    <t>Building</t>
  </si>
  <si>
    <t>Vehicle</t>
  </si>
  <si>
    <t>Fuel</t>
  </si>
  <si>
    <t>Equipment</t>
  </si>
  <si>
    <t>Overhead</t>
  </si>
  <si>
    <t>Summary</t>
  </si>
  <si>
    <t>Base Handling Commissions</t>
  </si>
  <si>
    <t>Depot Viability HC</t>
  </si>
  <si>
    <t>Contract Labour</t>
  </si>
  <si>
    <t>Total Operating Expense</t>
  </si>
  <si>
    <t>Total Operating Expenses</t>
  </si>
  <si>
    <t>Net Income Before Tax</t>
  </si>
  <si>
    <t>Cost</t>
  </si>
  <si>
    <t>Cost per Container (¢)</t>
  </si>
  <si>
    <t xml:space="preserve">Difference (Accepted to Adjusted) </t>
  </si>
  <si>
    <t>Difference (Adjusted to Total System)</t>
  </si>
  <si>
    <t>Difference (Total System to Target System)</t>
  </si>
  <si>
    <t>Difference (Accepted to Target System)</t>
  </si>
  <si>
    <t xml:space="preserve">% Change (Accepted to Target System) </t>
  </si>
  <si>
    <t>Small</t>
  </si>
  <si>
    <t>Medium</t>
  </si>
  <si>
    <t>Large</t>
  </si>
  <si>
    <t>Total</t>
  </si>
  <si>
    <t xml:space="preserve">Cost per Container (¢) </t>
  </si>
  <si>
    <t>Percent Change</t>
  </si>
  <si>
    <t>% Change</t>
  </si>
  <si>
    <t>% Change From 2004</t>
  </si>
  <si>
    <t>Ave. Annual</t>
  </si>
  <si>
    <t>Hours</t>
  </si>
  <si>
    <t>Salary &amp; Wages</t>
  </si>
  <si>
    <t>Benefits</t>
  </si>
  <si>
    <t>Size Class</t>
  </si>
  <si>
    <t xml:space="preserve">Hours </t>
  </si>
  <si>
    <t>$</t>
  </si>
  <si>
    <t>$ 
(Less Collection Costs Cap)</t>
  </si>
  <si>
    <t>Business Vehicle Cost</t>
  </si>
  <si>
    <t>Offsite Collections Vehicle Cost*</t>
  </si>
  <si>
    <t>Total Vehicle Cost*</t>
  </si>
  <si>
    <t>Total (Less Offsite Collections Cap)</t>
  </si>
  <si>
    <t xml:space="preserve">Total </t>
  </si>
  <si>
    <t>Volume Cluster</t>
  </si>
  <si>
    <t>Depots in Study System</t>
  </si>
  <si>
    <t>Depots In Total System</t>
  </si>
  <si>
    <t>Study System Depots, FY2021 Volume</t>
  </si>
  <si>
    <t>Total System Depots 
Calendar Year Volume</t>
  </si>
  <si>
    <t>Depot Ratio</t>
  </si>
  <si>
    <t>Volume Ratio</t>
  </si>
  <si>
    <t>Percent Small</t>
  </si>
  <si>
    <t>Percent Medium</t>
  </si>
  <si>
    <t>Percent Large</t>
  </si>
  <si>
    <t>Study System</t>
  </si>
  <si>
    <t>Total System 
(b * c)</t>
  </si>
  <si>
    <t xml:space="preserve">Total System </t>
  </si>
  <si>
    <t>Study System 
(c + g + i)</t>
  </si>
  <si>
    <t>Total System 
(d + h + j)</t>
  </si>
  <si>
    <t>Total System 
(c x d)</t>
  </si>
  <si>
    <t>Total System 
(c x f)</t>
  </si>
  <si>
    <t>Total System 
(b x h)</t>
  </si>
  <si>
    <t>Total System (Calculated)</t>
  </si>
  <si>
    <t>Total System 
(c x l)</t>
  </si>
  <si>
    <t>Total System 
(c x o)</t>
  </si>
  <si>
    <t>Total System 
(c x q)</t>
  </si>
  <si>
    <t>Total System 
(c x w)</t>
  </si>
  <si>
    <t>Study System Total Operating Cost
*</t>
  </si>
  <si>
    <t>Total System Total Operating Cost
**</t>
  </si>
  <si>
    <t>Total System Cost (¢ / container)</t>
  </si>
  <si>
    <t>Total System Depots</t>
  </si>
  <si>
    <t>Target Year Depots</t>
  </si>
  <si>
    <t>Total System  Volume</t>
  </si>
  <si>
    <t>Target Year Volume</t>
  </si>
  <si>
    <t>Total System Ratio</t>
  </si>
  <si>
    <t>FY Quarter</t>
  </si>
  <si>
    <t>Target Year</t>
  </si>
  <si>
    <t>Total System 
(c +  g + i)</t>
  </si>
  <si>
    <t>Target System 
(d + h + j)</t>
  </si>
  <si>
    <t>Study System Volume Cluster</t>
  </si>
  <si>
    <t>FY 2022 Index (2017 Q4 = 100.0)</t>
  </si>
  <si>
    <t>FY 2022 Index (2017 = 100.0)</t>
  </si>
  <si>
    <t>Item</t>
  </si>
  <si>
    <t>Amount</t>
  </si>
  <si>
    <t>Existing Handling Commissions - Target Year Forecast</t>
  </si>
  <si>
    <t>Proposed Handling Commissions - Target Year Forecast</t>
  </si>
  <si>
    <t>AUR 2022
Schedule 12 Column A</t>
  </si>
  <si>
    <t>Current Annual Update Schedule 12 Column A</t>
  </si>
  <si>
    <t>Difference</t>
  </si>
  <si>
    <t>No.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</si>
  <si>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</si>
  <si>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</si>
  <si>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</si>
  <si>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</si>
  <si>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</si>
  <si>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</si>
  <si>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</si>
  <si>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</si>
  <si>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</si>
  <si>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</si>
  <si>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</si>
  <si>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</si>
  <si>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</si>
  <si>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(c)</t>
  </si>
  <si>
    <t>(n)</t>
  </si>
  <si>
    <t>(o)</t>
  </si>
  <si>
    <t>(p)</t>
  </si>
  <si>
    <t>(q)</t>
  </si>
  <si>
    <t>(r)</t>
  </si>
  <si>
    <t>(s)</t>
  </si>
  <si>
    <t>(t)</t>
  </si>
  <si>
    <t>(u)</t>
  </si>
  <si>
    <t xml:space="preserve"> No.</t>
  </si>
  <si>
    <t xml:space="preserve">(r) </t>
  </si>
  <si>
    <t>(v)</t>
  </si>
  <si>
    <t xml:space="preserve">(c) </t>
  </si>
  <si>
    <t xml:space="preserve">(e) </t>
  </si>
  <si>
    <t xml:space="preserve">(s) </t>
  </si>
  <si>
    <t>($)</t>
  </si>
  <si>
    <t>(%)</t>
  </si>
  <si>
    <t>Revenue</t>
  </si>
  <si>
    <t>Sq. Ft.</t>
  </si>
  <si>
    <t>CCA</t>
  </si>
  <si>
    <t>Overhead - Office</t>
  </si>
  <si>
    <t>Enterprise Relaunch Grant Income</t>
  </si>
  <si>
    <t>Utility Deferrals</t>
  </si>
  <si>
    <t>Cardboard Sales</t>
  </si>
  <si>
    <t>Volume</t>
  </si>
  <si>
    <t>Target Year Indexed Rate</t>
  </si>
  <si>
    <t>Cost of Goods Sold Calculation</t>
  </si>
  <si>
    <t>Net Income before Tax</t>
  </si>
  <si>
    <t>Building CCA</t>
  </si>
  <si>
    <t>Lease Payments</t>
  </si>
  <si>
    <t>Office Expenses</t>
  </si>
  <si>
    <t>CERS</t>
  </si>
  <si>
    <t>Building Deferrals</t>
  </si>
  <si>
    <t>Pick-up Fees</t>
  </si>
  <si>
    <t>Operating Expenses</t>
  </si>
  <si>
    <t>Less Purchases</t>
  </si>
  <si>
    <t>¢ per container</t>
  </si>
  <si>
    <t>S/Container</t>
  </si>
  <si>
    <t>Use Costs incl. Mortgage Interest</t>
  </si>
  <si>
    <t>Operating Costs</t>
  </si>
  <si>
    <t>Shop Supplies</t>
  </si>
  <si>
    <t>CEWS</t>
  </si>
  <si>
    <t>Income Tax Deferrals</t>
  </si>
  <si>
    <t>Other Recycling</t>
  </si>
  <si>
    <t>Less: Purchases</t>
  </si>
  <si>
    <t>Base Handling Commission</t>
  </si>
  <si>
    <t>$/Hour</t>
  </si>
  <si>
    <t>Gross Margin (HC)</t>
  </si>
  <si>
    <t>Utilities</t>
  </si>
  <si>
    <t>Telephone</t>
  </si>
  <si>
    <t>TWSE</t>
  </si>
  <si>
    <t>WCB Payment Deferrals</t>
  </si>
  <si>
    <t>Wine Bottle Sales</t>
  </si>
  <si>
    <t>Gross Margin</t>
  </si>
  <si>
    <t>Cost of Goods Sold (#2+#3)</t>
  </si>
  <si>
    <t>Base Handling Commissions (HC)</t>
  </si>
  <si>
    <t>Misc Revenue</t>
  </si>
  <si>
    <t>Deemed Lease Cost</t>
  </si>
  <si>
    <t>* Less Offsite Collections Cost Cap</t>
  </si>
  <si>
    <t>Charitable Donations</t>
  </si>
  <si>
    <t>CRHP</t>
  </si>
  <si>
    <t>Loan Deferras</t>
  </si>
  <si>
    <t>Value Add Fee (VAF)</t>
  </si>
  <si>
    <t>Pre-Tax Margin Calculation</t>
  </si>
  <si>
    <t>Total Margin</t>
  </si>
  <si>
    <t>Deemed Usage Cost</t>
  </si>
  <si>
    <t>Internet</t>
  </si>
  <si>
    <t>CEBA</t>
  </si>
  <si>
    <t>Other Deferrals</t>
  </si>
  <si>
    <t>Other Revenue</t>
  </si>
  <si>
    <t>Return Margin (Combined)</t>
  </si>
  <si>
    <t>Net Revenue</t>
  </si>
  <si>
    <t>Expenses</t>
  </si>
  <si>
    <t>Bank Charges</t>
  </si>
  <si>
    <t>Other Building Benefits</t>
  </si>
  <si>
    <t>COVID Subsidies</t>
  </si>
  <si>
    <t>Revenues Required (#4/(1-#6))</t>
  </si>
  <si>
    <t>Professional Fees (Accounting/Legal)</t>
  </si>
  <si>
    <t>Other COVID Benefits</t>
  </si>
  <si>
    <t>COVID Payment Deferrals</t>
  </si>
  <si>
    <t>Pre-Tax Margin (#7-#4)</t>
  </si>
  <si>
    <t>Contract / Collector Labour</t>
  </si>
  <si>
    <t>Training Courses  (3rd Party)</t>
  </si>
  <si>
    <t>Marketing and Promotions</t>
  </si>
  <si>
    <t>Advertising</t>
  </si>
  <si>
    <t>Equipment and Vehicles</t>
  </si>
  <si>
    <t>Other Insurance (non-property)</t>
  </si>
  <si>
    <t>Municipal Taxes &amp; License Fees</t>
  </si>
  <si>
    <t>Other Office costs</t>
  </si>
  <si>
    <t>Earnings Before Taxes</t>
  </si>
  <si>
    <t>Sub Total</t>
  </si>
  <si>
    <t>Total Expenses</t>
  </si>
  <si>
    <t>System Data</t>
  </si>
  <si>
    <t>Overhead - Fees</t>
  </si>
  <si>
    <t>Difference (As Accepted Data to Target System Data)</t>
  </si>
  <si>
    <t>Total Container Volume</t>
  </si>
  <si>
    <t>BCMB Fines / Levies</t>
  </si>
  <si>
    <t xml:space="preserve">System Data </t>
  </si>
  <si>
    <t xml:space="preserve">Percent Change (As Accepted Data to Target System Data) </t>
  </si>
  <si>
    <t>Number of Depots</t>
  </si>
  <si>
    <t>ABDA Fees</t>
  </si>
  <si>
    <t>Total Return</t>
  </si>
  <si>
    <t>Pre-Tax Return</t>
  </si>
  <si>
    <t xml:space="preserve">Number of Depots </t>
  </si>
  <si>
    <t>Overhead - Other</t>
  </si>
  <si>
    <t>Revenue Requirement</t>
  </si>
  <si>
    <t>Non-labour collection costs</t>
  </si>
  <si>
    <t>Q3</t>
  </si>
  <si>
    <t>Removal of Interest and Dividend Revenues per HC Agreement</t>
  </si>
  <si>
    <t>Deposit incentives</t>
  </si>
  <si>
    <t>Total System as a % of Study System</t>
  </si>
  <si>
    <t>Target Year as a % of Total System</t>
  </si>
  <si>
    <t xml:space="preserve">*note: revenue and expenses exclude deposits as these are a net zero item. </t>
  </si>
  <si>
    <t>Addition of Direct Labour costs per HC Agreement</t>
  </si>
  <si>
    <t>Goodwill - Current Year CCA</t>
  </si>
  <si>
    <t>Revised Revenue Requirement</t>
  </si>
  <si>
    <t>Shrinkage</t>
  </si>
  <si>
    <t>DVHC Revenues</t>
  </si>
  <si>
    <t>Other costs</t>
  </si>
  <si>
    <t>Handling Commission Revenues</t>
  </si>
  <si>
    <t>Total Revenue at Current Rates</t>
  </si>
  <si>
    <t>Overhead - Table 9</t>
  </si>
  <si>
    <t>Proposed Rate Increase</t>
  </si>
  <si>
    <t>Table 9 Collections costs</t>
  </si>
  <si>
    <t>Table 9 Cash &amp; Shrinkage</t>
  </si>
  <si>
    <t>Schedule 1: Revenue Requirement Summary</t>
  </si>
  <si>
    <t>Schedule 2: Volume and Pallet Allocators</t>
  </si>
  <si>
    <t xml:space="preserve">Schedule 3: Business Cost Allocator </t>
  </si>
  <si>
    <t>Schedule 4: Time and Motion Expert Seconds per Container</t>
  </si>
  <si>
    <t>Schedule 5: Direct and Collector Target Year Hours and Cost</t>
  </si>
  <si>
    <t>Schedule 6: Direct and Collector Labour Cost</t>
  </si>
  <si>
    <t>Schedule 7: Overhead Labour Allocators</t>
  </si>
  <si>
    <t xml:space="preserve">Schedule 8: Overhead Labour </t>
  </si>
  <si>
    <t>Schedule 9: Building Allocators</t>
  </si>
  <si>
    <t>Schedule 10: Building</t>
  </si>
  <si>
    <t>Schedule 11: Equipment Allocators</t>
  </si>
  <si>
    <t xml:space="preserve">Schedule 12: Equipment </t>
  </si>
  <si>
    <t>Schedule 13: Vehicle</t>
  </si>
  <si>
    <t>Schedule 14: Overhead Allocators</t>
  </si>
  <si>
    <t>Schedule 15: Overhead</t>
  </si>
  <si>
    <t>Schedule 16: Return and Miscellaneous Summary</t>
  </si>
  <si>
    <t>Schedule 17: Return</t>
  </si>
  <si>
    <t>Schedule 18: Cost Per Container Stream Summary</t>
  </si>
  <si>
    <t>Schedule 19: Cost per Container Summary</t>
  </si>
  <si>
    <t>Schedule 20: Revenue surplus / shortfall</t>
  </si>
  <si>
    <t>Schedule 21: Revenue Surplus / Shortfall by Manufacturer</t>
  </si>
  <si>
    <t>Schedule 22: Pre-Depot Viability Handling Commission Change</t>
  </si>
  <si>
    <t>Schedule 23: Depot Viability Handling Commissions Summary</t>
  </si>
  <si>
    <t>Schedule 24: Depot Viability Handling Commissions by Container Stream</t>
  </si>
  <si>
    <t>Schedule 25: Handling Commission Change</t>
  </si>
  <si>
    <t>Target Year Revenue Requirement</t>
  </si>
  <si>
    <t>Percent of Total Cost</t>
  </si>
  <si>
    <r>
      <t xml:space="preserve">Unit Cost </t>
    </r>
    <r>
      <rPr>
        <b/>
        <i/>
        <sz val="11"/>
        <color theme="0"/>
        <rFont val="Segoe UI Semibold"/>
        <family val="2"/>
      </rPr>
      <t>(¢/container)</t>
    </r>
  </si>
  <si>
    <t>Forecast Group</t>
  </si>
  <si>
    <t>Container Stream</t>
  </si>
  <si>
    <t>Target Year Volume Forecast
Volume</t>
  </si>
  <si>
    <t>Target Year Volume Allocator</t>
  </si>
  <si>
    <t>Containers per  Pallet</t>
  </si>
  <si>
    <t>Total Pallets</t>
  </si>
  <si>
    <t>Pallet Allocator</t>
  </si>
  <si>
    <t>Manufacturer</t>
  </si>
  <si>
    <t xml:space="preserve">Business Costs </t>
  </si>
  <si>
    <t>Business Cost Allocator</t>
  </si>
  <si>
    <t>Total Time (s)</t>
  </si>
  <si>
    <t>Time Per Container</t>
  </si>
  <si>
    <t>Target Year Forecast</t>
  </si>
  <si>
    <t>Direct and Collector Labour Hours</t>
  </si>
  <si>
    <t>Target Year Direct and Collector Labour Hours</t>
  </si>
  <si>
    <t>Loaded Hourly Rate ($/Hour)</t>
  </si>
  <si>
    <r>
      <t xml:space="preserve">Total Direct &amp; Collector Labour
 Cost
</t>
    </r>
    <r>
      <rPr>
        <b/>
        <i/>
        <sz val="11"/>
        <color theme="0"/>
        <rFont val="Segoe UI Semibold"/>
        <family val="2"/>
      </rPr>
      <t>(</t>
    </r>
    <r>
      <rPr>
        <i/>
        <sz val="11"/>
        <color theme="0"/>
        <rFont val="Segoe UI Semibold"/>
        <family val="2"/>
      </rPr>
      <t>$</t>
    </r>
    <r>
      <rPr>
        <b/>
        <i/>
        <sz val="11"/>
        <color theme="0"/>
        <rFont val="Segoe UI Semibold"/>
        <family val="2"/>
      </rPr>
      <t>)</t>
    </r>
  </si>
  <si>
    <t>Direct and Collector Labour Allocator</t>
  </si>
  <si>
    <r>
      <t xml:space="preserve">Unit Cost </t>
    </r>
    <r>
      <rPr>
        <b/>
        <i/>
        <sz val="11"/>
        <color theme="0"/>
        <rFont val="Calibri"/>
        <family val="2"/>
        <scheme val="minor"/>
      </rPr>
      <t>(¢/container)</t>
    </r>
  </si>
  <si>
    <t>Cost Classification</t>
  </si>
  <si>
    <t>% of Total</t>
  </si>
  <si>
    <t>Total Overhead Cost</t>
  </si>
  <si>
    <t>Direct and Collector Labour Cost</t>
  </si>
  <si>
    <t>Volume Cost</t>
  </si>
  <si>
    <r>
      <t xml:space="preserve">Overhead Labour Cost 
</t>
    </r>
    <r>
      <rPr>
        <b/>
        <i/>
        <sz val="11"/>
        <color theme="0"/>
        <rFont val="Segoe UI Semibold"/>
        <family val="2"/>
      </rPr>
      <t>($)</t>
    </r>
  </si>
  <si>
    <t>%
Reported</t>
  </si>
  <si>
    <t>Cost
($)</t>
  </si>
  <si>
    <t>Volume Classification Factor</t>
  </si>
  <si>
    <t>Pallet Classification Factor</t>
  </si>
  <si>
    <t>Volume Classification ($)</t>
  </si>
  <si>
    <t>Pallet Classification ($)</t>
  </si>
  <si>
    <t>Volume Allocator</t>
  </si>
  <si>
    <r>
      <t xml:space="preserve">Volume
Cost 
</t>
    </r>
    <r>
      <rPr>
        <b/>
        <i/>
        <sz val="11"/>
        <color theme="0"/>
        <rFont val="Segoe UI Semibold"/>
        <family val="2"/>
      </rPr>
      <t>($)</t>
    </r>
  </si>
  <si>
    <t xml:space="preserve"> Pallet Allocator</t>
  </si>
  <si>
    <r>
      <t xml:space="preserve">Total Pallet Cost 
</t>
    </r>
    <r>
      <rPr>
        <b/>
        <i/>
        <sz val="11"/>
        <color theme="0"/>
        <rFont val="Segoe UI Semibold"/>
        <family val="2"/>
      </rPr>
      <t>($)</t>
    </r>
  </si>
  <si>
    <r>
      <t xml:space="preserve">Total Building Cost
</t>
    </r>
    <r>
      <rPr>
        <b/>
        <i/>
        <sz val="11"/>
        <color theme="0"/>
        <rFont val="Segoe UI Semibold"/>
        <family val="2"/>
      </rPr>
      <t>($)</t>
    </r>
  </si>
  <si>
    <t>Building Allocator</t>
  </si>
  <si>
    <t>Equipment Cost Classification</t>
  </si>
  <si>
    <t>Total Equipment Cost</t>
  </si>
  <si>
    <r>
      <t xml:space="preserve">Building Cost
</t>
    </r>
    <r>
      <rPr>
        <b/>
        <i/>
        <sz val="11"/>
        <color theme="0"/>
        <rFont val="Segoe UI Semibold"/>
        <family val="2"/>
      </rPr>
      <t>($)</t>
    </r>
  </si>
  <si>
    <r>
      <t xml:space="preserve">Pallet Cost 
</t>
    </r>
    <r>
      <rPr>
        <b/>
        <i/>
        <sz val="11"/>
        <color theme="0"/>
        <rFont val="Segoe UI Semibold"/>
        <family val="2"/>
      </rPr>
      <t>($)</t>
    </r>
  </si>
  <si>
    <r>
      <t xml:space="preserve">Volume Cost
</t>
    </r>
    <r>
      <rPr>
        <b/>
        <i/>
        <sz val="11"/>
        <color theme="0"/>
        <rFont val="Segoe UI Semibold"/>
        <family val="2"/>
      </rPr>
      <t>($)</t>
    </r>
  </si>
  <si>
    <r>
      <t xml:space="preserve">Total Equipment Cost
</t>
    </r>
    <r>
      <rPr>
        <b/>
        <i/>
        <sz val="11"/>
        <color theme="0"/>
        <rFont val="Segoe UI Semibold"/>
        <family val="2"/>
      </rPr>
      <t>($)</t>
    </r>
  </si>
  <si>
    <t>% of
Total</t>
  </si>
  <si>
    <r>
      <t xml:space="preserve">Total Vehicle Cost
</t>
    </r>
    <r>
      <rPr>
        <b/>
        <i/>
        <sz val="11"/>
        <color theme="0"/>
        <rFont val="Segoe UI Semibold"/>
        <family val="2"/>
      </rPr>
      <t>($)</t>
    </r>
  </si>
  <si>
    <t>As Adjusted Cost</t>
  </si>
  <si>
    <r>
      <t xml:space="preserve">Business Cost 
</t>
    </r>
    <r>
      <rPr>
        <b/>
        <i/>
        <sz val="11"/>
        <color theme="0"/>
        <rFont val="Segoe UI Semibold"/>
        <family val="2"/>
      </rPr>
      <t>($)</t>
    </r>
  </si>
  <si>
    <r>
      <t xml:space="preserve">Building Cost 
</t>
    </r>
    <r>
      <rPr>
        <b/>
        <i/>
        <sz val="11"/>
        <color theme="0"/>
        <rFont val="Segoe UI Semibold"/>
        <family val="2"/>
      </rPr>
      <t>($)</t>
    </r>
  </si>
  <si>
    <r>
      <t xml:space="preserve">Volume Cost 
</t>
    </r>
    <r>
      <rPr>
        <b/>
        <i/>
        <sz val="11"/>
        <color theme="0"/>
        <rFont val="Segoe UI Semibold"/>
        <family val="2"/>
      </rPr>
      <t>($)</t>
    </r>
  </si>
  <si>
    <r>
      <t xml:space="preserve">Total Overhead Cost 
</t>
    </r>
    <r>
      <rPr>
        <b/>
        <i/>
        <sz val="11"/>
        <color theme="0"/>
        <rFont val="Segoe UI Semibold"/>
        <family val="2"/>
      </rPr>
      <t>($)</t>
    </r>
  </si>
  <si>
    <t>Return and Miscellaneous Revenue</t>
  </si>
  <si>
    <r>
      <t xml:space="preserve">Return and Miscellaneous Revenue
</t>
    </r>
    <r>
      <rPr>
        <b/>
        <i/>
        <sz val="11"/>
        <color theme="0"/>
        <rFont val="Segoe UI Semibold"/>
        <family val="2"/>
      </rPr>
      <t>($)</t>
    </r>
  </si>
  <si>
    <t>Direct and Collector Labour</t>
  </si>
  <si>
    <t>Buildings</t>
  </si>
  <si>
    <t>Forecast Group Revenue Requirement</t>
  </si>
  <si>
    <r>
      <t xml:space="preserve">Direct and Collector Labour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</si>
  <si>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Overhead Labour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</si>
  <si>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Building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</si>
  <si>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Equipment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</si>
  <si>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Vehicle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</si>
  <si>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Overhead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</si>
  <si>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Return and Miscellaneous Revenue
</t>
    </r>
    <r>
      <rPr>
        <b/>
        <i/>
        <sz val="11"/>
        <color theme="0"/>
        <rFont val="Segoe UI Semibold"/>
        <family val="2"/>
      </rPr>
      <t>(¢/container)</t>
    </r>
  </si>
  <si>
    <r>
      <t>Variable Rate (</t>
    </r>
    <r>
      <rPr>
        <b/>
        <i/>
        <sz val="11"/>
        <color theme="0"/>
        <rFont val="Segoe UI Semibold"/>
        <family val="2"/>
      </rPr>
      <t>¢/container</t>
    </r>
    <r>
      <rPr>
        <b/>
        <sz val="11"/>
        <color theme="0"/>
        <rFont val="Segoe UI Semibold"/>
        <family val="2"/>
      </rPr>
      <t>)</t>
    </r>
  </si>
  <si>
    <t>Revenue at
Variable
Rates</t>
  </si>
  <si>
    <r>
      <t xml:space="preserve">Revenue Surplus / Shortfall
</t>
    </r>
    <r>
      <rPr>
        <b/>
        <i/>
        <sz val="11"/>
        <color theme="0"/>
        <rFont val="Segoe UI Semibold"/>
        <family val="2"/>
      </rPr>
      <t>($)</t>
    </r>
  </si>
  <si>
    <r>
      <t xml:space="preserve">Pre-Depot Viability Target Year Handling Commissions 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</si>
  <si>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Current Pre-Depot Viability Handling Commissions 
</t>
    </r>
    <r>
      <rPr>
        <b/>
        <i/>
        <sz val="11"/>
        <color theme="0"/>
        <rFont val="Segoe UI Semibold"/>
        <family val="2"/>
      </rPr>
      <t>(¢/container)</t>
    </r>
  </si>
  <si>
    <t>Change in ¢ per container</t>
  </si>
  <si>
    <r>
      <t xml:space="preserve">Deposits 
</t>
    </r>
    <r>
      <rPr>
        <b/>
        <i/>
        <sz val="11"/>
        <color theme="0"/>
        <rFont val="Segoe UI Semibold"/>
        <family val="2"/>
      </rPr>
      <t>(¢/container)</t>
    </r>
  </si>
  <si>
    <t>2022 CY Volume</t>
  </si>
  <si>
    <t>Target Yr Vol</t>
  </si>
  <si>
    <t>% increase in vol</t>
  </si>
  <si>
    <t>1.5-cent eligible volume</t>
  </si>
  <si>
    <r>
      <t xml:space="preserve">Avg HC per Container
</t>
    </r>
    <r>
      <rPr>
        <i/>
        <sz val="11"/>
        <color theme="0"/>
        <rFont val="Segoe UI Semibold"/>
        <family val="2"/>
      </rPr>
      <t>(cents)</t>
    </r>
  </si>
  <si>
    <r>
      <t xml:space="preserve">DVHC Addition </t>
    </r>
    <r>
      <rPr>
        <i/>
        <sz val="11"/>
        <color theme="0"/>
        <rFont val="Segoe UI Semibold"/>
        <family val="2"/>
      </rPr>
      <t>($)</t>
    </r>
  </si>
  <si>
    <t>Target Year 
Depot Viability HC-Eligible Volume</t>
  </si>
  <si>
    <t>Eligible Portion</t>
  </si>
  <si>
    <t>Refillable Ratio</t>
  </si>
  <si>
    <r>
      <t xml:space="preserve">Proposed Target Year Handling Commissions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</si>
  <si>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Target Year Volume, With Depot Viability HC
</t>
    </r>
    <r>
      <rPr>
        <b/>
        <i/>
        <sz val="11"/>
        <color theme="0"/>
        <rFont val="Segoe UI Semibold"/>
        <family val="2"/>
      </rPr>
      <t>(14.6% of total)</t>
    </r>
  </si>
  <si>
    <r>
      <t xml:space="preserve">Target Year Volume, Without Depot Viability HC
</t>
    </r>
    <r>
      <rPr>
        <b/>
        <i/>
        <sz val="11"/>
        <color theme="0"/>
        <rFont val="Segoe UI Semibold"/>
        <family val="2"/>
      </rPr>
      <t>(85.4% of total)</t>
    </r>
  </si>
  <si>
    <r>
      <t>Revenue,                                 1.5-cent increase only
(14.6% of total)</t>
    </r>
    <r>
      <rPr>
        <b/>
        <i/>
        <sz val="11"/>
        <color theme="0"/>
        <rFont val="Segoe UI Semibold"/>
        <family val="2"/>
      </rPr>
      <t xml:space="preserve">
(1.5 cents * (f))</t>
    </r>
  </si>
  <si>
    <r>
      <t xml:space="preserve">Remaining Forecast Group Revenue Requirement
</t>
    </r>
    <r>
      <rPr>
        <b/>
        <i/>
        <sz val="11"/>
        <color theme="0"/>
        <rFont val="Segoe UI Semibold"/>
        <family val="2"/>
      </rPr>
      <t>((c) - (h))</t>
    </r>
  </si>
  <si>
    <r>
      <t xml:space="preserve">New Base Proposed Target Year HC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</si>
  <si>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New HC for first 1.5M containers
</t>
    </r>
    <r>
      <rPr>
        <b/>
        <i/>
        <sz val="11"/>
        <color theme="0"/>
        <rFont val="Segoe UI Semibold"/>
        <family val="2"/>
      </rPr>
      <t>(¢/container)</t>
    </r>
  </si>
  <si>
    <t>Forecast Group Revenue Requirement (Check)</t>
  </si>
  <si>
    <t>Decrease in Base HC</t>
  </si>
  <si>
    <r>
      <t xml:space="preserve">Target Year Handling Commissions 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</si>
  <si>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Current Handling Commissions 
</t>
    </r>
    <r>
      <rPr>
        <b/>
        <i/>
        <sz val="11"/>
        <color theme="0"/>
        <rFont val="Segoe UI Semibold"/>
        <family val="2"/>
      </rPr>
      <t>(¢/container)</t>
    </r>
  </si>
  <si>
    <t xml:space="preserve">(f) </t>
  </si>
  <si>
    <t xml:space="preserve">(h) </t>
  </si>
  <si>
    <t>Sorting / Loading / Cardboard</t>
  </si>
  <si>
    <t>Target Year Direct &amp; Collector Labour Costs</t>
  </si>
  <si>
    <t>Office</t>
  </si>
  <si>
    <t>Business</t>
  </si>
  <si>
    <t>ABCRC</t>
  </si>
  <si>
    <t>Aluminum 0 - 1 Litre</t>
  </si>
  <si>
    <t>Target Year Direct &amp; Collector Labour Hours</t>
  </si>
  <si>
    <t>Customer Interface</t>
  </si>
  <si>
    <t>Less:  Miscellaneous Revenue</t>
  </si>
  <si>
    <t>BDL</t>
  </si>
  <si>
    <t>Bag in Box Over 1 Litre</t>
  </si>
  <si>
    <t>Average Target Year Direct &amp; Collector Labour Rate</t>
  </si>
  <si>
    <t>Loading</t>
  </si>
  <si>
    <t>System Return</t>
  </si>
  <si>
    <t>Bi-Metal 0 - 1 Litre</t>
  </si>
  <si>
    <t>Average Time per container (seconds)</t>
  </si>
  <si>
    <t>Sorting</t>
  </si>
  <si>
    <t>Bi-Metal Over 1 Litre</t>
  </si>
  <si>
    <t>Storage</t>
  </si>
  <si>
    <t>Specialty Containers</t>
  </si>
  <si>
    <t>Drink Pouch 0 - 1 Litre</t>
  </si>
  <si>
    <t>Gable Top 0 - 1 Litre</t>
  </si>
  <si>
    <t>Gable Top Over 1 Litre</t>
  </si>
  <si>
    <t>Glass 0 - 1 Litre</t>
  </si>
  <si>
    <t>Glass Over 1 Litre</t>
  </si>
  <si>
    <t>HDPE Plastics Natural Over 1 Litre</t>
  </si>
  <si>
    <t>Industry Standard Bottle</t>
  </si>
  <si>
    <t>Liquor and Wine Ceramics</t>
  </si>
  <si>
    <t>Molson Coors MGD Refillable 355ml</t>
  </si>
  <si>
    <t>Other Plastics 0 - 1 Litre</t>
  </si>
  <si>
    <t>Other Plastics Over 1 Litre</t>
  </si>
  <si>
    <t>PET 0 - 1 Litre</t>
  </si>
  <si>
    <t>PET Over 1 Litre</t>
  </si>
  <si>
    <t>Plastic One-Way Keg Over 1 Litre</t>
  </si>
  <si>
    <t>Sleemans Refillable</t>
  </si>
  <si>
    <t>Steam Whistle Refillable</t>
  </si>
  <si>
    <t>Tetra Brik 0 - 1 Litre</t>
  </si>
  <si>
    <t>Tetra Brik Over 1 Litre</t>
  </si>
  <si>
    <t>Moosehead</t>
  </si>
  <si>
    <t>Vlookup Reference</t>
  </si>
  <si>
    <t>Column #</t>
  </si>
  <si>
    <t xml:space="preserve">See "Schedule 8" for the Total Volume Allocators &amp; Total Container Pallets Allocators </t>
  </si>
  <si>
    <t xml:space="preserve">See "Schedule 5" for the Buildings Allocators and "Schedule 8" for the Total Volume Allocators &amp; Total Container Pallets Allocators </t>
  </si>
  <si>
    <t>See "Schedule 7.0" for the Total Cost Allocators, "Schedule 5" for the Buildings Allocators and "Schedule 8" for the Total Volume Allocators</t>
  </si>
  <si>
    <t>Vlookup Ref</t>
  </si>
  <si>
    <t>Column Number</t>
  </si>
  <si>
    <t>Specialty containers HC</t>
  </si>
  <si>
    <t>Q4</t>
  </si>
  <si>
    <t>Q2</t>
  </si>
  <si>
    <r>
      <t xml:space="preserve">Target Year 
</t>
    </r>
    <r>
      <rPr>
        <b/>
        <sz val="9"/>
        <color rgb="FFFFFFFF"/>
        <rFont val="Segoe UI Semibold"/>
        <family val="2"/>
      </rPr>
      <t>(j + l + n + p + r + t)</t>
    </r>
  </si>
  <si>
    <t>See "Schedule 5" for the Buildings Allocators and "Schedule 8" for the Total Volume Allocators &amp;</t>
  </si>
  <si>
    <t xml:space="preserve"> Total Container Pallets Allocators </t>
  </si>
  <si>
    <t>orig</t>
  </si>
  <si>
    <t>Target Year Handling Commissions 
(¢/container)</t>
  </si>
  <si>
    <t>Change in Vol</t>
  </si>
  <si>
    <t xml:space="preserve">Actuals </t>
  </si>
  <si>
    <t>Change in RR</t>
  </si>
  <si>
    <t>Net Loss or gain</t>
  </si>
  <si>
    <t>Change from Actuals</t>
  </si>
  <si>
    <t>Actuals</t>
  </si>
  <si>
    <t>allocation %s</t>
  </si>
  <si>
    <t>Higher/ Lower HCs</t>
  </si>
  <si>
    <t>Gained/ Lost HCs</t>
  </si>
  <si>
    <t>alloc</t>
  </si>
  <si>
    <t>Original</t>
  </si>
  <si>
    <t>Net Gain</t>
  </si>
  <si>
    <t>Lost HCs</t>
  </si>
  <si>
    <t>Lower HCs</t>
  </si>
  <si>
    <t>Net Loss</t>
  </si>
  <si>
    <t>Actual Volumes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</si>
</sst>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&quot;$&quot;#,##0.00_);\(&quot;$&quot;#,##0.00\)"/>
    <numFmt numFmtId="167" formatCode="&quot;$&quot;#,##0.00_);[Red]\(&quot;$&quot;#,##0.00\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&quot;$&quot;#,##0"/>
    <numFmt numFmtId="172" formatCode="_-* #,##0_-;\-* #,##0_-;_-* &quot;-&quot;??_-;_-@_-"/>
    <numFmt numFmtId="173" formatCode="_-&quot;$&quot;* #,##0_-;\-&quot;$&quot;* #,##0_-;_-&quot;$&quot;* &quot;-&quot;??_-;_-@_-"/>
    <numFmt numFmtId="174" formatCode="&quot;$&quot;* #,##0_);[Red]&quot;$&quot;* \(#,##0\)"/>
    <numFmt numFmtId="175" formatCode="_(* #,##0_);_(* \(#,##0\);_(* &quot;-&quot;??_);_(@_)"/>
    <numFmt numFmtId="176" formatCode="0.0%"/>
    <numFmt numFmtId="177" formatCode="[$-409]mmm\-yy;@"/>
    <numFmt numFmtId="178" formatCode="0.00_);[Red]\(0.00\)"/>
    <numFmt numFmtId="179" formatCode="0.0"/>
    <numFmt numFmtId="180" formatCode="#,##0.000;[Red]\-#,##0.000"/>
    <numFmt numFmtId="181" formatCode="#,##0.0;[Red]\-#,##0.0"/>
    <numFmt numFmtId="182" formatCode="_(&quot;$&quot;* #,##0_);_(&quot;$&quot;* \(#,##0\);_(&quot;$&quot;* &quot;-&quot;??_);_(@_)"/>
    <numFmt numFmtId="183" formatCode="0.0000_);[Red]\(0.0000\)"/>
    <numFmt numFmtId="184" formatCode="* #,##0.00_)%;[Red]* \(#,##0.00\)%"/>
    <numFmt numFmtId="185" formatCode="[$-409]d\-mmm\-yy;@"/>
    <numFmt numFmtId="186" formatCode="0.0000"/>
    <numFmt numFmtId="187" formatCode="#,##0.0000_);\(#,##0.0000\)"/>
    <numFmt numFmtId="188" formatCode="&quot;$&quot;* #,##0.00_);[Red]&quot;$&quot;* \(#,##0.00\)"/>
    <numFmt numFmtId="189" formatCode="&quot;$&quot;* #,##0.00_);[Red]&quot;$&quot;* \(\-#,##0.00\)"/>
    <numFmt numFmtId="190" formatCode="&quot;$&quot;* #,##0_);[Red]&quot;$&quot;* \(\-#,##0\)"/>
    <numFmt numFmtId="191" formatCode="0.000"/>
    <numFmt numFmtId="192" formatCode="&quot;$&quot;* #,##0.000_);[Red]&quot;$&quot;* \(#,##0.000\)"/>
    <numFmt numFmtId="193" formatCode="#,##0.000;\-#,##0.000"/>
    <numFmt numFmtId="194" formatCode="&quot;$&quot;#,##0.00"/>
    <numFmt numFmtId="195" formatCode="0.0000%"/>
    <numFmt numFmtId="196" formatCode="#,##0.000_ ;[Red]\-#,##0.000\ 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 Light"/>
      <family val="2"/>
      <scheme val="major"/>
    </font>
    <font>
      <b/>
      <sz val="11"/>
      <color theme="0"/>
      <name val="Segoe UI Semibold"/>
      <family val="2"/>
    </font>
    <font>
      <sz val="11"/>
      <color theme="1"/>
      <name val="Segoe UI Semibold"/>
      <family val="2"/>
    </font>
    <font>
      <sz val="11"/>
      <color theme="0"/>
      <name val="Segoe UI Semibold"/>
      <family val="2"/>
    </font>
    <font>
      <b/>
      <sz val="11"/>
      <name val="Segoe UI Semibold"/>
      <family val="2"/>
    </font>
    <font>
      <sz val="11"/>
      <name val="Segoe UI Semibold"/>
      <family val="2"/>
    </font>
    <font>
      <sz val="11"/>
      <color indexed="12"/>
      <name val="Segoe UI Semibold"/>
      <family val="2"/>
    </font>
    <font>
      <b/>
      <u/>
      <sz val="11"/>
      <name val="Segoe UI Semibold"/>
      <family val="2"/>
    </font>
    <font>
      <b/>
      <sz val="11"/>
      <color theme="1"/>
      <name val="Segoe UI Semibold"/>
      <family val="2"/>
    </font>
    <font>
      <b/>
      <i/>
      <sz val="11"/>
      <color theme="0"/>
      <name val="Calibri"/>
      <family val="2"/>
      <scheme val="minor"/>
    </font>
    <font>
      <sz val="11"/>
      <name val="Segoe UI Semilight"/>
      <family val="2"/>
    </font>
    <font>
      <sz val="11"/>
      <color rgb="FF000000"/>
      <name val="Segoe UI Semilight"/>
      <family val="2"/>
    </font>
    <font>
      <b/>
      <sz val="11"/>
      <color indexed="8"/>
      <name val="Segoe UI Semibold"/>
      <family val="2"/>
    </font>
    <font>
      <b/>
      <sz val="11"/>
      <color rgb="FF000000"/>
      <name val="Segoe UI Semibold"/>
      <family val="2"/>
    </font>
    <font>
      <b/>
      <i/>
      <sz val="11"/>
      <color theme="0"/>
      <name val="Segoe UI Semibold"/>
      <family val="2"/>
    </font>
    <font>
      <i/>
      <sz val="11"/>
      <color theme="0"/>
      <name val="Segoe UI Semibold"/>
      <family val="2"/>
    </font>
    <font>
      <b/>
      <sz val="11"/>
      <color rgb="FFFFFFFF"/>
      <name val="Segoe UI Semibold"/>
      <family val="2"/>
    </font>
    <font>
      <b/>
      <sz val="11"/>
      <color rgb="FFFFFFFF"/>
      <name val="Segoe UI Semilight"/>
      <family val="2"/>
    </font>
    <font>
      <b/>
      <sz val="11"/>
      <name val="Segoe UI Semilight"/>
      <family val="2"/>
    </font>
    <font>
      <sz val="11"/>
      <color theme="1"/>
      <name val="Segoe UI Semilight"/>
      <family val="2"/>
    </font>
    <font>
      <b/>
      <sz val="11"/>
      <color rgb="FF000000"/>
      <name val="Segoe UI Semilight"/>
      <family val="2"/>
    </font>
    <font>
      <b/>
      <sz val="11"/>
      <color rgb="FF107F8A"/>
      <name val="Segoe UI Semilight"/>
      <family val="2"/>
    </font>
    <font>
      <sz val="11"/>
      <color rgb="FF107F8A"/>
      <name val="Segoe UI Semilight"/>
      <family val="2"/>
    </font>
    <font>
      <sz val="11"/>
      <color rgb="FF0000FF"/>
      <name val="Segoe UI Semilight"/>
      <family val="2"/>
    </font>
    <font>
      <sz val="11"/>
      <color rgb="FF000000"/>
      <name val="Segoe UI Semibold"/>
      <family val="2"/>
    </font>
    <font>
      <sz val="11"/>
      <color rgb="FFFFFFFF"/>
      <name val="Segoe UI Semibold"/>
      <family val="2"/>
    </font>
    <font>
      <b/>
      <u/>
      <sz val="11"/>
      <color rgb="FFFFFFFF"/>
      <name val="Segoe UI Semibold"/>
      <family val="2"/>
    </font>
    <font>
      <sz val="11"/>
      <color rgb="FF0C3343"/>
      <name val="Segoe UI Semibold"/>
      <family val="2"/>
    </font>
    <font>
      <b/>
      <sz val="11"/>
      <color rgb="FF107F8A"/>
      <name val="Segoe UI Semibold"/>
      <family val="2"/>
    </font>
    <font>
      <b/>
      <sz val="9"/>
      <color rgb="FFFFFFFF"/>
      <name val="Segoe UI Semibold"/>
      <family val="2"/>
    </font>
    <font>
      <sz val="11"/>
      <color rgb="FF0000FF"/>
      <name val="Segoe UI Semibold"/>
      <family val="2"/>
    </font>
    <font>
      <sz val="11"/>
      <color rgb="FF107F8A"/>
      <name val="Segoe UI Semibold"/>
      <family val="2"/>
    </font>
    <font>
      <sz val="11"/>
      <color rgb="FFFFFFFF"/>
      <name val="Segoe UI Semilight"/>
      <family val="2"/>
    </font>
    <font>
      <i/>
      <sz val="11"/>
      <color rgb="FF000000"/>
      <name val="Segoe UI Semilight"/>
      <family val="2"/>
    </font>
    <font>
      <i/>
      <sz val="11"/>
      <name val="Segoe UI Semilight"/>
      <family val="2"/>
    </font>
    <font>
      <sz val="11"/>
      <color rgb="FFFF0000"/>
      <name val="Segoe UI Semilight"/>
      <family val="2"/>
    </font>
    <font>
      <i/>
      <sz val="10"/>
      <color rgb="FF000000"/>
      <name val="Segoe UI Semilight"/>
      <family val="2"/>
    </font>
    <font>
      <sz val="9"/>
      <color rgb="FF000000"/>
      <name val="Century Gothic"/>
      <family val="2"/>
    </font>
    <font>
      <b/>
      <sz val="11"/>
      <color rgb="FF0000FF"/>
      <name val="Segoe UI Semilight"/>
      <family val="2"/>
    </font>
    <font>
      <i/>
      <sz val="10"/>
      <name val="Segoe UI Semilight"/>
      <family val="2"/>
    </font>
    <font>
      <b/>
      <i/>
      <sz val="8"/>
      <color rgb="FF000000"/>
      <name val="Segoe UI Semilight"/>
      <family val="2"/>
    </font>
    <font>
      <sz val="11"/>
      <color rgb="FFFF0000"/>
      <name val="Segoe UI Semibold"/>
      <family val="2"/>
    </font>
    <font>
      <b/>
      <u/>
      <sz val="11"/>
      <name val="Segoe UI Semilight"/>
      <family val="2"/>
    </font>
    <font>
      <i/>
      <sz val="11"/>
      <color rgb="FF808080"/>
      <name val="Segoe UI Semilight"/>
      <family val="2"/>
    </font>
    <font>
      <sz val="11"/>
      <color rgb="FF107F8A"/>
      <name val="Calibri"/>
      <family val="2"/>
      <scheme val="minor"/>
    </font>
    <font>
      <b/>
      <sz val="11"/>
      <color rgb="FF0000FF"/>
      <name val="Segoe UI Semibold"/>
      <family val="2"/>
    </font>
    <font>
      <sz val="11"/>
      <color rgb="FF0000E1"/>
      <name val="Segoe UI Semilight"/>
      <family val="2"/>
    </font>
    <font>
      <b/>
      <sz val="11"/>
      <color rgb="FFFF0000"/>
      <name val="Segoe UI Semibold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07F8A"/>
        <bgColor rgb="FF000000"/>
      </patternFill>
    </fill>
    <fill>
      <patternFill patternType="solid">
        <fgColor rgb="FF0C3343"/>
        <bgColor rgb="FF000000"/>
      </patternFill>
    </fill>
    <fill>
      <patternFill patternType="solid">
        <fgColor rgb="FFEF5A27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124E67"/>
        <bgColor rgb="FF000000"/>
      </patternFill>
    </fill>
    <fill>
      <patternFill patternType="solid">
        <fgColor rgb="FFE8E8E8"/>
        <bgColor rgb="FF000000"/>
      </patternFill>
    </fill>
    <fill>
      <patternFill patternType="solid">
        <fgColor rgb="FF0C3343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5" tint="-0.249977111117893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FBFBF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 tint="-0.249977111117893"/>
      </bottom>
      <diagonal/>
    </border>
    <border>
      <left/>
      <right/>
      <top style="thin">
        <color indexed="64"/>
      </top>
      <bottom style="medium">
        <color theme="0" tint="-0.249977111117893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 style="thin">
        <color rgb="FFBFBFBF"/>
      </right>
      <top/>
      <bottom style="thin">
        <color indexed="64"/>
      </bottom>
      <diagonal/>
    </border>
    <border>
      <left/>
      <right style="thin">
        <color rgb="FFBFBFBF"/>
      </right>
      <top/>
      <bottom style="medium">
        <color rgb="FFBFBFBF"/>
      </bottom>
      <diagonal/>
    </border>
    <border>
      <left/>
      <right style="thin">
        <color rgb="FFBFBFBF"/>
      </right>
      <top style="thin">
        <color rgb="FFBFBFBF"/>
      </top>
      <bottom style="medium">
        <color rgb="FFBFBFBF"/>
      </bottom>
      <diagonal/>
    </border>
    <border>
      <left/>
      <right/>
      <top style="thin">
        <color rgb="FFBFBFBF"/>
      </top>
      <bottom style="medium">
        <color rgb="FFBFBFBF"/>
      </bottom>
      <diagonal/>
    </border>
    <border>
      <left/>
      <right/>
      <top style="thin">
        <color indexed="64"/>
      </top>
      <bottom style="medium">
        <color rgb="FFBFBFBF"/>
      </bottom>
      <diagonal/>
    </border>
    <border>
      <left/>
      <right style="thin">
        <color rgb="FFBFBFBF"/>
      </right>
      <top style="thin">
        <color indexed="64"/>
      </top>
      <bottom style="medium">
        <color rgb="FFBFBFBF"/>
      </bottom>
      <diagonal/>
    </border>
    <border>
      <left/>
      <right/>
      <top/>
      <bottom style="medium">
        <color rgb="FFD9D9D9"/>
      </bottom>
      <diagonal/>
    </border>
    <border>
      <left style="thin">
        <color rgb="FFBFBFBF"/>
      </left>
      <right/>
      <top/>
      <bottom style="thin">
        <color indexed="64"/>
      </bottom>
      <diagonal/>
    </border>
    <border>
      <left style="thin">
        <color rgb="FFBFBFBF"/>
      </left>
      <right/>
      <top/>
      <bottom style="medium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/>
      <top style="thin">
        <color indexed="64"/>
      </top>
      <bottom/>
      <diagonal/>
    </border>
    <border>
      <left/>
      <right/>
      <top style="thin">
        <color rgb="FFFFFFFF"/>
      </top>
      <bottom/>
      <diagonal/>
    </border>
  </borders>
  <cellStyleXfs count="9">
    <xf numFmtId="0" fontId="0" fillId="0" borderId="0"/>
    <xf numFmtId="37" fontId="1" fillId="0" borderId="0"/>
    <xf numFmtId="174" fontId="7" fillId="0" borderId="0"/>
    <xf numFmtId="176" fontId="1" fillId="0" borderId="0" applyAlignment="0"/>
    <xf numFmtId="172" fontId="8" fillId="3" borderId="2">
      <alignment horizontal="center" vertical="center" wrapText="1"/>
    </xf>
    <xf numFmtId="40" fontId="7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11">
    <xf numFmtId="0" fontId="0" fillId="0" borderId="0" xfId="0"/>
    <xf numFmtId="0" fontId="6" fillId="2" borderId="0" xfId="0" applyFont="1" applyFill="1"/>
    <xf numFmtId="0" fontId="0" fillId="2" borderId="0" xfId="0" applyFill="1"/>
    <xf numFmtId="0" fontId="7" fillId="2" borderId="0" xfId="0" applyFont="1" applyFill="1"/>
    <xf numFmtId="171" fontId="0" fillId="2" borderId="0" xfId="0" applyNumberFormat="1" applyFill="1"/>
    <xf numFmtId="10" fontId="0" fillId="2" borderId="0" xfId="0" applyNumberFormat="1" applyFill="1"/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4" fillId="2" borderId="0" xfId="0" applyFont="1" applyFill="1"/>
    <xf numFmtId="173" fontId="0" fillId="2" borderId="0" xfId="0" applyNumberFormat="1" applyFill="1"/>
    <xf numFmtId="0" fontId="0" fillId="2" borderId="0" xfId="0" applyFill="1" applyAlignment="1">
      <alignment horizontal="center"/>
    </xf>
    <xf numFmtId="172" fontId="0" fillId="2" borderId="0" xfId="0" applyNumberFormat="1" applyFill="1"/>
    <xf numFmtId="176" fontId="0" fillId="2" borderId="0" xfId="0" applyNumberFormat="1" applyFill="1"/>
    <xf numFmtId="174" fontId="18" fillId="4" borderId="6" xfId="2" applyFont="1" applyFill="1" applyBorder="1"/>
    <xf numFmtId="39" fontId="19" fillId="4" borderId="0" xfId="1" applyNumberFormat="1" applyFont="1" applyFill="1"/>
    <xf numFmtId="174" fontId="18" fillId="6" borderId="0" xfId="2" applyFont="1" applyFill="1"/>
    <xf numFmtId="174" fontId="18" fillId="6" borderId="6" xfId="2" applyFont="1" applyFill="1" applyBorder="1"/>
    <xf numFmtId="39" fontId="19" fillId="6" borderId="0" xfId="1" applyNumberFormat="1" applyFont="1" applyFill="1"/>
    <xf numFmtId="174" fontId="18" fillId="4" borderId="0" xfId="2" applyFont="1" applyFill="1"/>
    <xf numFmtId="174" fontId="12" fillId="2" borderId="8" xfId="2" applyFont="1" applyFill="1" applyBorder="1"/>
    <xf numFmtId="174" fontId="18" fillId="4" borderId="10" xfId="2" applyFont="1" applyFill="1" applyBorder="1"/>
    <xf numFmtId="39" fontId="19" fillId="4" borderId="11" xfId="1" applyNumberFormat="1" applyFont="1" applyFill="1" applyBorder="1"/>
    <xf numFmtId="174" fontId="18" fillId="4" borderId="11" xfId="2" applyFont="1" applyFill="1" applyBorder="1"/>
    <xf numFmtId="0" fontId="10" fillId="2" borderId="0" xfId="0" applyFont="1" applyFill="1"/>
    <xf numFmtId="174" fontId="18" fillId="6" borderId="10" xfId="2" applyFont="1" applyFill="1" applyBorder="1"/>
    <xf numFmtId="39" fontId="19" fillId="6" borderId="11" xfId="1" applyNumberFormat="1" applyFont="1" applyFill="1" applyBorder="1"/>
    <xf numFmtId="174" fontId="12" fillId="6" borderId="0" xfId="2" applyFont="1" applyFill="1"/>
    <xf numFmtId="184" fontId="18" fillId="4" borderId="11" xfId="0" applyNumberFormat="1" applyFont="1" applyFill="1" applyBorder="1"/>
    <xf numFmtId="0" fontId="12" fillId="2" borderId="8" xfId="0" applyFont="1" applyFill="1" applyBorder="1"/>
    <xf numFmtId="174" fontId="12" fillId="6" borderId="11" xfId="2" applyFont="1" applyFill="1" applyBorder="1"/>
    <xf numFmtId="174" fontId="18" fillId="6" borderId="11" xfId="2" applyFont="1" applyFill="1" applyBorder="1"/>
    <xf numFmtId="174" fontId="12" fillId="4" borderId="0" xfId="0" applyNumberFormat="1" applyFont="1" applyFill="1"/>
    <xf numFmtId="174" fontId="12" fillId="6" borderId="0" xfId="0" applyNumberFormat="1" applyFont="1" applyFill="1"/>
    <xf numFmtId="176" fontId="0" fillId="0" borderId="0" xfId="3" applyFont="1"/>
    <xf numFmtId="176" fontId="18" fillId="4" borderId="11" xfId="3" applyFont="1" applyFill="1" applyBorder="1"/>
    <xf numFmtId="168" fontId="21" fillId="6" borderId="0" xfId="0" applyNumberFormat="1" applyFont="1" applyFill="1" applyAlignment="1">
      <alignment vertical="center" wrapText="1"/>
    </xf>
    <xf numFmtId="172" fontId="21" fillId="4" borderId="14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right" vertical="top"/>
    </xf>
    <xf numFmtId="0" fontId="6" fillId="7" borderId="0" xfId="0" applyFont="1" applyFill="1" applyAlignment="1">
      <alignment horizontal="right" vertical="top"/>
    </xf>
    <xf numFmtId="0" fontId="4" fillId="2" borderId="0" xfId="0" applyFont="1" applyFill="1" applyAlignment="1">
      <alignment vertical="top"/>
    </xf>
    <xf numFmtId="0" fontId="0" fillId="7" borderId="0" xfId="0" applyFill="1"/>
    <xf numFmtId="0" fontId="4" fillId="0" borderId="0" xfId="0" applyFont="1"/>
    <xf numFmtId="0" fontId="3" fillId="7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vertical="top"/>
    </xf>
    <xf numFmtId="0" fontId="2" fillId="7" borderId="0" xfId="0" applyFont="1" applyFill="1" applyAlignment="1">
      <alignment horizontal="center" vertical="center"/>
    </xf>
    <xf numFmtId="176" fontId="0" fillId="5" borderId="0" xfId="3" applyFont="1" applyFill="1"/>
    <xf numFmtId="171" fontId="0" fillId="2" borderId="0" xfId="0" applyNumberFormat="1" applyFill="1" applyAlignment="1">
      <alignment horizontal="right" wrapText="1"/>
    </xf>
    <xf numFmtId="40" fontId="7" fillId="5" borderId="0" xfId="5" applyFill="1"/>
    <xf numFmtId="189" fontId="0" fillId="2" borderId="0" xfId="0" applyNumberFormat="1" applyFill="1" applyAlignment="1">
      <alignment wrapText="1"/>
    </xf>
    <xf numFmtId="40" fontId="7" fillId="0" borderId="0" xfId="5"/>
    <xf numFmtId="176" fontId="0" fillId="0" borderId="7" xfId="3" applyFont="1" applyBorder="1"/>
    <xf numFmtId="171" fontId="4" fillId="2" borderId="0" xfId="0" applyNumberFormat="1" applyFont="1" applyFill="1" applyAlignment="1">
      <alignment horizontal="right" wrapText="1"/>
    </xf>
    <xf numFmtId="0" fontId="12" fillId="5" borderId="8" xfId="0" applyFont="1" applyFill="1" applyBorder="1"/>
    <xf numFmtId="0" fontId="16" fillId="5" borderId="8" xfId="0" applyFont="1" applyFill="1" applyBorder="1" applyAlignment="1">
      <alignment horizontal="left" wrapText="1"/>
    </xf>
    <xf numFmtId="174" fontId="12" fillId="5" borderId="8" xfId="2" applyFont="1" applyFill="1" applyBorder="1"/>
    <xf numFmtId="173" fontId="4" fillId="2" borderId="0" xfId="0" applyNumberFormat="1" applyFont="1" applyFill="1"/>
    <xf numFmtId="188" fontId="12" fillId="5" borderId="8" xfId="2" applyNumberFormat="1" applyFont="1" applyFill="1" applyBorder="1"/>
    <xf numFmtId="0" fontId="16" fillId="2" borderId="8" xfId="0" applyFont="1" applyFill="1" applyBorder="1"/>
    <xf numFmtId="176" fontId="16" fillId="2" borderId="8" xfId="3" applyFont="1" applyFill="1" applyBorder="1" applyAlignment="1">
      <alignment horizontal="center"/>
    </xf>
    <xf numFmtId="176" fontId="16" fillId="0" borderId="8" xfId="3" applyFont="1" applyBorder="1" applyAlignment="1">
      <alignment horizontal="center"/>
    </xf>
    <xf numFmtId="174" fontId="12" fillId="0" borderId="8" xfId="2" applyFont="1" applyBorder="1" applyAlignment="1">
      <alignment horizontal="center"/>
    </xf>
    <xf numFmtId="0" fontId="12" fillId="2" borderId="8" xfId="0" applyFont="1" applyFill="1" applyBorder="1" applyAlignment="1">
      <alignment horizontal="center" vertical="center"/>
    </xf>
    <xf numFmtId="40" fontId="7" fillId="0" borderId="7" xfId="5" applyBorder="1"/>
    <xf numFmtId="0" fontId="6" fillId="7" borderId="0" xfId="0" applyFont="1" applyFill="1"/>
    <xf numFmtId="0" fontId="10" fillId="5" borderId="8" xfId="0" applyFont="1" applyFill="1" applyBorder="1"/>
    <xf numFmtId="0" fontId="14" fillId="5" borderId="8" xfId="0" applyFont="1" applyFill="1" applyBorder="1" applyAlignment="1">
      <alignment horizontal="center" vertical="top"/>
    </xf>
    <xf numFmtId="0" fontId="20" fillId="5" borderId="8" xfId="0" applyFont="1" applyFill="1" applyBorder="1" applyAlignment="1">
      <alignment horizontal="left" vertical="top" wrapText="1"/>
    </xf>
    <xf numFmtId="176" fontId="4" fillId="5" borderId="9" xfId="3" applyFont="1" applyFill="1" applyBorder="1"/>
    <xf numFmtId="40" fontId="6" fillId="5" borderId="9" xfId="5" applyFont="1" applyFill="1" applyBorder="1"/>
    <xf numFmtId="0" fontId="20" fillId="5" borderId="8" xfId="0" applyFont="1" applyFill="1" applyBorder="1" applyAlignment="1">
      <alignment horizontal="left" wrapText="1"/>
    </xf>
    <xf numFmtId="40" fontId="12" fillId="5" borderId="8" xfId="5" applyFont="1" applyFill="1" applyBorder="1"/>
    <xf numFmtId="176" fontId="16" fillId="5" borderId="8" xfId="3" applyFont="1" applyFill="1" applyBorder="1"/>
    <xf numFmtId="0" fontId="10" fillId="2" borderId="0" xfId="0" applyFont="1" applyFill="1" applyAlignment="1">
      <alignment vertical="top"/>
    </xf>
    <xf numFmtId="0" fontId="6" fillId="5" borderId="8" xfId="0" applyFont="1" applyFill="1" applyBorder="1"/>
    <xf numFmtId="0" fontId="14" fillId="5" borderId="8" xfId="0" applyFont="1" applyFill="1" applyBorder="1" applyAlignment="1">
      <alignment horizontal="center" vertical="center"/>
    </xf>
    <xf numFmtId="172" fontId="12" fillId="5" borderId="8" xfId="0" applyNumberFormat="1" applyFont="1" applyFill="1" applyBorder="1" applyAlignment="1">
      <alignment horizontal="right" vertical="center" wrapText="1"/>
    </xf>
    <xf numFmtId="189" fontId="6" fillId="2" borderId="0" xfId="0" applyNumberFormat="1" applyFont="1" applyFill="1" applyAlignment="1">
      <alignment horizontal="right" vertical="center" wrapText="1"/>
    </xf>
    <xf numFmtId="168" fontId="0" fillId="2" borderId="0" xfId="0" applyNumberFormat="1" applyFill="1" applyAlignment="1">
      <alignment vertical="top"/>
    </xf>
    <xf numFmtId="0" fontId="0" fillId="8" borderId="0" xfId="0" applyFill="1" applyAlignment="1">
      <alignment vertical="top"/>
    </xf>
    <xf numFmtId="0" fontId="7" fillId="2" borderId="0" xfId="0" applyFont="1" applyFill="1" applyAlignment="1">
      <alignment vertical="top" wrapText="1"/>
    </xf>
    <xf numFmtId="0" fontId="0" fillId="8" borderId="0" xfId="0" applyFill="1"/>
    <xf numFmtId="195" fontId="0" fillId="2" borderId="0" xfId="0" applyNumberFormat="1" applyFill="1"/>
    <xf numFmtId="0" fontId="24" fillId="9" borderId="0" xfId="0" applyFont="1" applyFill="1"/>
    <xf numFmtId="172" fontId="24" fillId="11" borderId="0" xfId="4" applyFont="1" applyFill="1" applyBorder="1">
      <alignment horizontal="center" vertical="center" wrapText="1"/>
    </xf>
    <xf numFmtId="172" fontId="24" fillId="10" borderId="15" xfId="0" applyNumberFormat="1" applyFont="1" applyFill="1" applyBorder="1" applyAlignment="1">
      <alignment horizontal="center" vertical="center"/>
    </xf>
    <xf numFmtId="0" fontId="26" fillId="4" borderId="0" xfId="0" applyFont="1" applyFill="1"/>
    <xf numFmtId="0" fontId="26" fillId="12" borderId="0" xfId="0" applyFont="1" applyFill="1"/>
    <xf numFmtId="0" fontId="26" fillId="4" borderId="0" xfId="0" applyFont="1" applyFill="1" applyAlignment="1">
      <alignment horizontal="center"/>
    </xf>
    <xf numFmtId="0" fontId="18" fillId="12" borderId="0" xfId="0" applyFont="1" applyFill="1"/>
    <xf numFmtId="0" fontId="26" fillId="12" borderId="0" xfId="0" applyFont="1" applyFill="1" applyAlignment="1">
      <alignment horizontal="center"/>
    </xf>
    <xf numFmtId="0" fontId="18" fillId="4" borderId="0" xfId="0" applyFont="1" applyFill="1"/>
    <xf numFmtId="0" fontId="27" fillId="6" borderId="0" xfId="0" applyFont="1" applyFill="1"/>
    <xf numFmtId="0" fontId="27" fillId="4" borderId="0" xfId="0" applyFont="1" applyFill="1" applyAlignment="1">
      <alignment vertical="top" wrapText="1"/>
    </xf>
    <xf numFmtId="0" fontId="29" fillId="4" borderId="0" xfId="0" applyFont="1" applyFill="1" applyAlignment="1">
      <alignment horizontal="center" vertical="center" wrapText="1"/>
    </xf>
    <xf numFmtId="0" fontId="30" fillId="4" borderId="0" xfId="0" applyFont="1" applyFill="1" applyAlignment="1">
      <alignment vertical="center" wrapText="1"/>
    </xf>
    <xf numFmtId="0" fontId="31" fillId="4" borderId="0" xfId="0" applyFont="1" applyFill="1" applyAlignment="1">
      <alignment horizontal="center" vertical="center"/>
    </xf>
    <xf numFmtId="0" fontId="27" fillId="12" borderId="0" xfId="0" applyFont="1" applyFill="1"/>
    <xf numFmtId="171" fontId="27" fillId="4" borderId="0" xfId="0" applyNumberFormat="1" applyFont="1" applyFill="1"/>
    <xf numFmtId="0" fontId="27" fillId="4" borderId="0" xfId="0" applyFont="1" applyFill="1" applyAlignment="1">
      <alignment horizontal="left"/>
    </xf>
    <xf numFmtId="168" fontId="27" fillId="4" borderId="0" xfId="0" applyNumberFormat="1" applyFont="1" applyFill="1"/>
    <xf numFmtId="168" fontId="27" fillId="12" borderId="0" xfId="0" applyNumberFormat="1" applyFont="1" applyFill="1"/>
    <xf numFmtId="10" fontId="27" fillId="4" borderId="0" xfId="0" applyNumberFormat="1" applyFont="1" applyFill="1"/>
    <xf numFmtId="0" fontId="26" fillId="4" borderId="0" xfId="0" applyFont="1" applyFill="1" applyAlignment="1">
      <alignment horizontal="center" vertical="top" wrapText="1"/>
    </xf>
    <xf numFmtId="0" fontId="25" fillId="4" borderId="0" xfId="0" applyFont="1" applyFill="1" applyAlignment="1">
      <alignment horizontal="center" vertical="top" wrapText="1"/>
    </xf>
    <xf numFmtId="0" fontId="25" fillId="12" borderId="0" xfId="0" applyFont="1" applyFill="1" applyAlignment="1">
      <alignment horizontal="center" vertical="top" wrapText="1"/>
    </xf>
    <xf numFmtId="172" fontId="25" fillId="4" borderId="0" xfId="0" applyNumberFormat="1" applyFont="1" applyFill="1" applyAlignment="1">
      <alignment wrapText="1"/>
    </xf>
    <xf numFmtId="10" fontId="27" fillId="12" borderId="0" xfId="0" applyNumberFormat="1" applyFont="1" applyFill="1" applyAlignment="1">
      <alignment vertical="top" wrapText="1"/>
    </xf>
    <xf numFmtId="10" fontId="27" fillId="4" borderId="0" xfId="0" applyNumberFormat="1" applyFont="1" applyFill="1" applyAlignment="1">
      <alignment vertical="top" wrapText="1"/>
    </xf>
    <xf numFmtId="0" fontId="32" fillId="11" borderId="0" xfId="0" applyFont="1" applyFill="1"/>
    <xf numFmtId="10" fontId="25" fillId="4" borderId="0" xfId="0" applyNumberFormat="1" applyFont="1" applyFill="1" applyAlignment="1">
      <alignment vertical="top" wrapText="1"/>
    </xf>
    <xf numFmtId="0" fontId="24" fillId="11" borderId="0" xfId="0" applyFont="1" applyFill="1" applyAlignment="1">
      <alignment vertical="center"/>
    </xf>
    <xf numFmtId="0" fontId="33" fillId="11" borderId="0" xfId="0" applyFont="1" applyFill="1" applyAlignment="1">
      <alignment vertical="center"/>
    </xf>
    <xf numFmtId="0" fontId="34" fillId="11" borderId="0" xfId="0" applyFont="1" applyFill="1" applyAlignment="1">
      <alignment vertical="center"/>
    </xf>
    <xf numFmtId="0" fontId="33" fillId="11" borderId="17" xfId="0" applyFont="1" applyFill="1" applyBorder="1" applyAlignment="1">
      <alignment vertical="center"/>
    </xf>
    <xf numFmtId="0" fontId="32" fillId="11" borderId="0" xfId="0" applyFont="1" applyFill="1" applyAlignment="1">
      <alignment vertical="center"/>
    </xf>
    <xf numFmtId="0" fontId="12" fillId="11" borderId="0" xfId="0" applyFont="1" applyFill="1" applyAlignment="1">
      <alignment vertical="center"/>
    </xf>
    <xf numFmtId="0" fontId="35" fillId="11" borderId="0" xfId="0" applyFont="1" applyFill="1" applyAlignment="1">
      <alignment vertical="center" wrapText="1"/>
    </xf>
    <xf numFmtId="0" fontId="32" fillId="11" borderId="0" xfId="0" applyFont="1" applyFill="1" applyAlignment="1">
      <alignment vertical="center" wrapText="1"/>
    </xf>
    <xf numFmtId="172" fontId="24" fillId="11" borderId="0" xfId="0" applyNumberFormat="1" applyFont="1" applyFill="1" applyAlignment="1">
      <alignment vertical="center"/>
    </xf>
    <xf numFmtId="0" fontId="33" fillId="11" borderId="0" xfId="0" applyFont="1" applyFill="1" applyAlignment="1">
      <alignment horizontal="left" vertical="center" wrapText="1"/>
    </xf>
    <xf numFmtId="0" fontId="27" fillId="12" borderId="0" xfId="0" applyFont="1" applyFill="1" applyAlignment="1">
      <alignment wrapText="1"/>
    </xf>
    <xf numFmtId="172" fontId="26" fillId="12" borderId="0" xfId="0" applyNumberFormat="1" applyFont="1" applyFill="1" applyAlignment="1">
      <alignment horizontal="center" wrapText="1"/>
    </xf>
    <xf numFmtId="0" fontId="18" fillId="12" borderId="0" xfId="0" applyFont="1" applyFill="1" applyAlignment="1">
      <alignment horizontal="center"/>
    </xf>
    <xf numFmtId="0" fontId="33" fillId="11" borderId="11" xfId="0" applyFont="1" applyFill="1" applyBorder="1" applyAlignment="1">
      <alignment vertical="center"/>
    </xf>
    <xf numFmtId="0" fontId="24" fillId="11" borderId="11" xfId="0" applyFont="1" applyFill="1" applyBorder="1" applyAlignment="1">
      <alignment horizontal="center" vertical="center" wrapText="1"/>
    </xf>
    <xf numFmtId="0" fontId="33" fillId="11" borderId="11" xfId="0" applyFont="1" applyFill="1" applyBorder="1" applyAlignment="1">
      <alignment vertical="center" wrapText="1"/>
    </xf>
    <xf numFmtId="0" fontId="25" fillId="4" borderId="0" xfId="0" applyFont="1" applyFill="1" applyAlignment="1">
      <alignment horizontal="center" vertical="center" wrapText="1"/>
    </xf>
    <xf numFmtId="0" fontId="24" fillId="11" borderId="18" xfId="0" applyFont="1" applyFill="1" applyBorder="1" applyAlignment="1">
      <alignment horizontal="center" vertical="center" wrapText="1"/>
    </xf>
    <xf numFmtId="0" fontId="33" fillId="11" borderId="18" xfId="0" applyFont="1" applyFill="1" applyBorder="1" applyAlignment="1">
      <alignment horizontal="center" vertical="center" wrapText="1"/>
    </xf>
    <xf numFmtId="0" fontId="25" fillId="12" borderId="0" xfId="0" applyFont="1" applyFill="1" applyAlignment="1">
      <alignment horizontal="center" vertical="center" wrapText="1"/>
    </xf>
    <xf numFmtId="0" fontId="33" fillId="11" borderId="19" xfId="0" applyFont="1" applyFill="1" applyBorder="1" applyAlignment="1">
      <alignment horizontal="center"/>
    </xf>
    <xf numFmtId="0" fontId="24" fillId="11" borderId="19" xfId="0" applyFont="1" applyFill="1" applyBorder="1" applyAlignment="1">
      <alignment horizontal="center" vertical="top" wrapText="1"/>
    </xf>
    <xf numFmtId="170" fontId="25" fillId="4" borderId="0" xfId="0" applyNumberFormat="1" applyFont="1" applyFill="1" applyAlignment="1">
      <alignment horizontal="center" vertical="center" wrapText="1"/>
    </xf>
    <xf numFmtId="0" fontId="33" fillId="11" borderId="0" xfId="0" applyFont="1" applyFill="1" applyAlignment="1">
      <alignment vertical="center" wrapText="1"/>
    </xf>
    <xf numFmtId="0" fontId="32" fillId="11" borderId="18" xfId="0" applyFont="1" applyFill="1" applyBorder="1" applyAlignment="1">
      <alignment vertical="center"/>
    </xf>
    <xf numFmtId="170" fontId="25" fillId="12" borderId="0" xfId="0" applyNumberFormat="1" applyFont="1" applyFill="1" applyAlignment="1">
      <alignment horizontal="center" vertical="center" wrapText="1"/>
    </xf>
    <xf numFmtId="0" fontId="33" fillId="11" borderId="0" xfId="0" applyFont="1" applyFill="1" applyAlignment="1">
      <alignment horizontal="center" vertical="center"/>
    </xf>
    <xf numFmtId="0" fontId="26" fillId="12" borderId="0" xfId="0" applyFont="1" applyFill="1" applyAlignment="1">
      <alignment horizontal="center" vertical="top" wrapText="1"/>
    </xf>
    <xf numFmtId="0" fontId="12" fillId="11" borderId="0" xfId="0" applyFont="1" applyFill="1" applyAlignment="1">
      <alignment horizontal="center"/>
    </xf>
    <xf numFmtId="0" fontId="13" fillId="11" borderId="0" xfId="0" applyFont="1" applyFill="1"/>
    <xf numFmtId="0" fontId="27" fillId="4" borderId="0" xfId="0" applyFont="1" applyFill="1" applyAlignment="1">
      <alignment horizontal="center" vertical="center"/>
    </xf>
    <xf numFmtId="0" fontId="24" fillId="10" borderId="0" xfId="0" applyFont="1" applyFill="1" applyAlignment="1">
      <alignment horizontal="center" vertical="center"/>
    </xf>
    <xf numFmtId="0" fontId="33" fillId="10" borderId="0" xfId="0" applyFont="1" applyFill="1" applyAlignment="1">
      <alignment horizontal="center" vertical="center"/>
    </xf>
    <xf numFmtId="0" fontId="24" fillId="10" borderId="20" xfId="0" applyFont="1" applyFill="1" applyBorder="1" applyAlignment="1">
      <alignment horizontal="center" vertical="center" wrapText="1"/>
    </xf>
    <xf numFmtId="0" fontId="24" fillId="10" borderId="19" xfId="0" applyFont="1" applyFill="1" applyBorder="1" applyAlignment="1">
      <alignment horizontal="center" vertical="center" wrapText="1"/>
    </xf>
    <xf numFmtId="0" fontId="24" fillId="10" borderId="15" xfId="0" applyFont="1" applyFill="1" applyBorder="1" applyAlignment="1">
      <alignment horizontal="center" vertical="center" wrapText="1"/>
    </xf>
    <xf numFmtId="0" fontId="27" fillId="12" borderId="0" xfId="0" applyFont="1" applyFill="1" applyAlignment="1">
      <alignment horizontal="center" vertical="center" wrapText="1"/>
    </xf>
    <xf numFmtId="0" fontId="27" fillId="4" borderId="0" xfId="0" applyFont="1" applyFill="1" applyAlignment="1">
      <alignment horizontal="center" vertical="center" wrapText="1"/>
    </xf>
    <xf numFmtId="0" fontId="32" fillId="10" borderId="11" xfId="0" applyFont="1" applyFill="1" applyBorder="1" applyAlignment="1">
      <alignment horizontal="center" vertical="center"/>
    </xf>
    <xf numFmtId="0" fontId="24" fillId="10" borderId="11" xfId="0" applyFont="1" applyFill="1" applyBorder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0" fontId="27" fillId="12" borderId="0" xfId="0" applyFont="1" applyFill="1" applyAlignment="1">
      <alignment horizontal="center" vertical="center"/>
    </xf>
    <xf numFmtId="0" fontId="33" fillId="10" borderId="11" xfId="0" applyFont="1" applyFill="1" applyBorder="1" applyAlignment="1">
      <alignment horizontal="center" vertical="center"/>
    </xf>
    <xf numFmtId="172" fontId="24" fillId="10" borderId="10" xfId="0" applyNumberFormat="1" applyFont="1" applyFill="1" applyBorder="1" applyAlignment="1">
      <alignment horizontal="center" vertical="center"/>
    </xf>
    <xf numFmtId="0" fontId="24" fillId="10" borderId="11" xfId="0" applyFont="1" applyFill="1" applyBorder="1" applyAlignment="1">
      <alignment horizontal="center" vertical="center" wrapText="1"/>
    </xf>
    <xf numFmtId="0" fontId="24" fillId="10" borderId="10" xfId="0" applyFont="1" applyFill="1" applyBorder="1" applyAlignment="1">
      <alignment horizontal="center" vertical="center" wrapText="1"/>
    </xf>
    <xf numFmtId="0" fontId="36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24" fillId="10" borderId="6" xfId="0" applyFont="1" applyFill="1" applyBorder="1" applyAlignment="1">
      <alignment horizontal="center" vertical="center"/>
    </xf>
    <xf numFmtId="0" fontId="24" fillId="10" borderId="0" xfId="0" applyFont="1" applyFill="1" applyAlignment="1">
      <alignment horizontal="center" vertical="center" wrapText="1"/>
    </xf>
    <xf numFmtId="0" fontId="24" fillId="10" borderId="17" xfId="0" applyFont="1" applyFill="1" applyBorder="1" applyAlignment="1">
      <alignment horizontal="center" vertical="center" wrapText="1"/>
    </xf>
    <xf numFmtId="164" fontId="27" fillId="4" borderId="0" xfId="0" applyNumberFormat="1" applyFont="1" applyFill="1" applyAlignment="1">
      <alignment horizontal="center" vertical="center"/>
    </xf>
    <xf numFmtId="171" fontId="24" fillId="10" borderId="17" xfId="0" applyNumberFormat="1" applyFont="1" applyFill="1" applyBorder="1" applyAlignment="1">
      <alignment horizontal="center" vertical="center"/>
    </xf>
    <xf numFmtId="171" fontId="24" fillId="10" borderId="0" xfId="0" applyNumberFormat="1" applyFont="1" applyFill="1" applyAlignment="1">
      <alignment horizontal="center" vertical="center"/>
    </xf>
    <xf numFmtId="171" fontId="24" fillId="10" borderId="17" xfId="0" applyNumberFormat="1" applyFont="1" applyFill="1" applyBorder="1" applyAlignment="1">
      <alignment horizontal="center" vertical="center" wrapText="1"/>
    </xf>
    <xf numFmtId="0" fontId="33" fillId="10" borderId="0" xfId="0" applyFont="1" applyFill="1" applyAlignment="1">
      <alignment horizontal="center" vertical="center" wrapText="1"/>
    </xf>
    <xf numFmtId="173" fontId="24" fillId="10" borderId="0" xfId="0" applyNumberFormat="1" applyFont="1" applyFill="1" applyAlignment="1">
      <alignment horizontal="center" vertical="center"/>
    </xf>
    <xf numFmtId="173" fontId="24" fillId="10" borderId="17" xfId="0" applyNumberFormat="1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168" fontId="24" fillId="10" borderId="6" xfId="0" applyNumberFormat="1" applyFont="1" applyFill="1" applyBorder="1" applyAlignment="1">
      <alignment horizontal="center" vertical="center"/>
    </xf>
    <xf numFmtId="168" fontId="24" fillId="10" borderId="0" xfId="0" applyNumberFormat="1" applyFont="1" applyFill="1" applyAlignment="1">
      <alignment horizontal="center" vertical="center"/>
    </xf>
    <xf numFmtId="168" fontId="24" fillId="10" borderId="17" xfId="0" applyNumberFormat="1" applyFont="1" applyFill="1" applyBorder="1" applyAlignment="1">
      <alignment horizontal="center" vertical="center"/>
    </xf>
    <xf numFmtId="168" fontId="27" fillId="4" borderId="0" xfId="0" applyNumberFormat="1" applyFont="1" applyFill="1" applyAlignment="1">
      <alignment horizontal="center" vertical="center"/>
    </xf>
    <xf numFmtId="168" fontId="27" fillId="12" borderId="0" xfId="0" applyNumberFormat="1" applyFont="1" applyFill="1" applyAlignment="1">
      <alignment horizontal="center" vertical="center"/>
    </xf>
    <xf numFmtId="0" fontId="33" fillId="10" borderId="17" xfId="0" applyFont="1" applyFill="1" applyBorder="1" applyAlignment="1">
      <alignment horizontal="center" vertical="center"/>
    </xf>
    <xf numFmtId="168" fontId="24" fillId="10" borderId="0" xfId="0" applyNumberFormat="1" applyFont="1" applyFill="1" applyAlignment="1">
      <alignment horizontal="center" vertical="center" wrapText="1"/>
    </xf>
    <xf numFmtId="168" fontId="24" fillId="10" borderId="17" xfId="0" applyNumberFormat="1" applyFont="1" applyFill="1" applyBorder="1" applyAlignment="1">
      <alignment horizontal="center" vertical="center" wrapText="1"/>
    </xf>
    <xf numFmtId="0" fontId="33" fillId="10" borderId="16" xfId="0" applyFont="1" applyFill="1" applyBorder="1" applyAlignment="1">
      <alignment horizontal="center" vertical="center"/>
    </xf>
    <xf numFmtId="0" fontId="24" fillId="10" borderId="17" xfId="0" applyFont="1" applyFill="1" applyBorder="1" applyAlignment="1">
      <alignment horizontal="center" vertical="center"/>
    </xf>
    <xf numFmtId="171" fontId="27" fillId="4" borderId="0" xfId="0" applyNumberFormat="1" applyFont="1" applyFill="1" applyAlignment="1">
      <alignment horizontal="center" vertical="center"/>
    </xf>
    <xf numFmtId="0" fontId="26" fillId="12" borderId="0" xfId="0" applyFont="1" applyFill="1" applyAlignment="1">
      <alignment horizontal="center" vertical="center"/>
    </xf>
    <xf numFmtId="0" fontId="34" fillId="10" borderId="16" xfId="0" applyFont="1" applyFill="1" applyBorder="1" applyAlignment="1">
      <alignment horizontal="center" vertical="center"/>
    </xf>
    <xf numFmtId="171" fontId="18" fillId="4" borderId="0" xfId="0" applyNumberFormat="1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33" fillId="10" borderId="11" xfId="0" applyFont="1" applyFill="1" applyBorder="1" applyAlignment="1">
      <alignment horizontal="center" vertical="center" wrapText="1"/>
    </xf>
    <xf numFmtId="171" fontId="24" fillId="10" borderId="11" xfId="0" applyNumberFormat="1" applyFont="1" applyFill="1" applyBorder="1" applyAlignment="1">
      <alignment horizontal="center" vertical="center" wrapText="1"/>
    </xf>
    <xf numFmtId="170" fontId="24" fillId="10" borderId="11" xfId="0" applyNumberFormat="1" applyFont="1" applyFill="1" applyBorder="1" applyAlignment="1">
      <alignment horizontal="center" vertical="center" wrapText="1"/>
    </xf>
    <xf numFmtId="0" fontId="24" fillId="10" borderId="18" xfId="0" applyFont="1" applyFill="1" applyBorder="1" applyAlignment="1">
      <alignment horizontal="center" vertical="center" wrapText="1"/>
    </xf>
    <xf numFmtId="170" fontId="24" fillId="10" borderId="18" xfId="0" applyNumberFormat="1" applyFont="1" applyFill="1" applyBorder="1" applyAlignment="1">
      <alignment horizontal="center" vertical="center" wrapText="1"/>
    </xf>
    <xf numFmtId="0" fontId="24" fillId="10" borderId="6" xfId="0" applyFont="1" applyFill="1" applyBorder="1" applyAlignment="1">
      <alignment horizontal="center" vertical="center" wrapText="1"/>
    </xf>
    <xf numFmtId="171" fontId="24" fillId="10" borderId="0" xfId="0" applyNumberFormat="1" applyFont="1" applyFill="1" applyAlignment="1">
      <alignment horizontal="center" vertical="center" wrapText="1"/>
    </xf>
    <xf numFmtId="171" fontId="25" fillId="4" borderId="0" xfId="0" applyNumberFormat="1" applyFont="1" applyFill="1" applyAlignment="1">
      <alignment horizontal="center" vertical="center" wrapText="1"/>
    </xf>
    <xf numFmtId="171" fontId="25" fillId="12" borderId="0" xfId="0" applyNumberFormat="1" applyFont="1" applyFill="1" applyAlignment="1">
      <alignment horizontal="center" vertical="center" wrapText="1"/>
    </xf>
    <xf numFmtId="0" fontId="33" fillId="10" borderId="18" xfId="0" applyFont="1" applyFill="1" applyBorder="1" applyAlignment="1">
      <alignment horizontal="center" vertical="center" wrapText="1"/>
    </xf>
    <xf numFmtId="170" fontId="33" fillId="10" borderId="18" xfId="0" applyNumberFormat="1" applyFont="1" applyFill="1" applyBorder="1" applyAlignment="1">
      <alignment horizontal="center" vertical="center" wrapText="1"/>
    </xf>
    <xf numFmtId="171" fontId="33" fillId="10" borderId="17" xfId="0" applyNumberFormat="1" applyFont="1" applyFill="1" applyBorder="1" applyAlignment="1">
      <alignment horizontal="center" vertical="center" wrapText="1"/>
    </xf>
    <xf numFmtId="0" fontId="33" fillId="10" borderId="6" xfId="0" applyFont="1" applyFill="1" applyBorder="1" applyAlignment="1">
      <alignment horizontal="center" vertical="center" wrapText="1"/>
    </xf>
    <xf numFmtId="171" fontId="33" fillId="10" borderId="0" xfId="0" applyNumberFormat="1" applyFont="1" applyFill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0" fontId="33" fillId="10" borderId="19" xfId="0" applyFont="1" applyFill="1" applyBorder="1" applyAlignment="1">
      <alignment horizontal="center" vertical="center" wrapText="1"/>
    </xf>
    <xf numFmtId="170" fontId="24" fillId="10" borderId="19" xfId="0" applyNumberFormat="1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center" vertical="center"/>
    </xf>
    <xf numFmtId="0" fontId="29" fillId="12" borderId="0" xfId="0" applyFont="1" applyFill="1" applyAlignment="1">
      <alignment horizontal="center" vertical="center"/>
    </xf>
    <xf numFmtId="170" fontId="24" fillId="10" borderId="17" xfId="0" applyNumberFormat="1" applyFont="1" applyFill="1" applyBorder="1" applyAlignment="1">
      <alignment horizontal="center" vertical="center" wrapText="1"/>
    </xf>
    <xf numFmtId="171" fontId="26" fillId="4" borderId="0" xfId="0" applyNumberFormat="1" applyFont="1" applyFill="1" applyAlignment="1">
      <alignment horizontal="center" vertical="center" wrapText="1"/>
    </xf>
    <xf numFmtId="171" fontId="26" fillId="12" borderId="0" xfId="0" applyNumberFormat="1" applyFont="1" applyFill="1" applyAlignment="1">
      <alignment horizontal="center" vertical="center" wrapText="1"/>
    </xf>
    <xf numFmtId="172" fontId="24" fillId="10" borderId="0" xfId="0" applyNumberFormat="1" applyFont="1" applyFill="1" applyAlignment="1">
      <alignment vertical="center" wrapText="1"/>
    </xf>
    <xf numFmtId="0" fontId="27" fillId="6" borderId="0" xfId="0" applyFont="1" applyFill="1" applyAlignment="1">
      <alignment horizontal="center" vertical="center" wrapText="1"/>
    </xf>
    <xf numFmtId="0" fontId="27" fillId="4" borderId="0" xfId="0" applyFont="1" applyFill="1" applyAlignment="1">
      <alignment vertical="center"/>
    </xf>
    <xf numFmtId="0" fontId="36" fillId="4" borderId="21" xfId="0" applyFont="1" applyFill="1" applyBorder="1" applyAlignment="1">
      <alignment horizontal="center" vertical="center"/>
    </xf>
    <xf numFmtId="0" fontId="32" fillId="4" borderId="21" xfId="0" applyFont="1" applyFill="1" applyBorder="1" applyAlignment="1">
      <alignment vertical="center" wrapText="1"/>
    </xf>
    <xf numFmtId="0" fontId="33" fillId="4" borderId="21" xfId="0" applyFont="1" applyFill="1" applyBorder="1" applyAlignment="1">
      <alignment vertical="center"/>
    </xf>
    <xf numFmtId="0" fontId="33" fillId="4" borderId="22" xfId="0" applyFont="1" applyFill="1" applyBorder="1" applyAlignment="1">
      <alignment vertical="center"/>
    </xf>
    <xf numFmtId="172" fontId="36" fillId="4" borderId="23" xfId="0" applyNumberFormat="1" applyFont="1" applyFill="1" applyBorder="1" applyAlignment="1">
      <alignment horizontal="center" vertical="center"/>
    </xf>
    <xf numFmtId="0" fontId="36" fillId="4" borderId="22" xfId="0" applyFont="1" applyFill="1" applyBorder="1" applyAlignment="1">
      <alignment horizontal="center" vertical="center"/>
    </xf>
    <xf numFmtId="0" fontId="36" fillId="4" borderId="23" xfId="0" quotePrefix="1" applyFont="1" applyFill="1" applyBorder="1" applyAlignment="1">
      <alignment horizontal="center" vertical="center"/>
    </xf>
    <xf numFmtId="172" fontId="36" fillId="4" borderId="21" xfId="0" applyNumberFormat="1" applyFont="1" applyFill="1" applyBorder="1" applyAlignment="1">
      <alignment horizontal="center" vertical="center"/>
    </xf>
    <xf numFmtId="0" fontId="36" fillId="4" borderId="23" xfId="0" applyFont="1" applyFill="1" applyBorder="1" applyAlignment="1">
      <alignment horizontal="center" vertical="center"/>
    </xf>
    <xf numFmtId="0" fontId="27" fillId="4" borderId="0" xfId="0" applyFont="1" applyFill="1" applyAlignment="1">
      <alignment vertical="center" wrapText="1"/>
    </xf>
    <xf numFmtId="0" fontId="27" fillId="12" borderId="0" xfId="0" applyFont="1" applyFill="1" applyAlignment="1">
      <alignment vertical="center"/>
    </xf>
    <xf numFmtId="0" fontId="36" fillId="4" borderId="0" xfId="0" applyFont="1" applyFill="1" applyAlignment="1">
      <alignment horizontal="center" vertical="center"/>
    </xf>
    <xf numFmtId="172" fontId="36" fillId="4" borderId="0" xfId="0" applyNumberFormat="1" applyFont="1" applyFill="1" applyAlignment="1">
      <alignment horizontal="center" vertical="center"/>
    </xf>
    <xf numFmtId="0" fontId="36" fillId="4" borderId="0" xfId="0" quotePrefix="1" applyFont="1" applyFill="1" applyAlignment="1">
      <alignment horizontal="center" vertical="center"/>
    </xf>
    <xf numFmtId="0" fontId="28" fillId="4" borderId="0" xfId="0" applyFont="1" applyFill="1" applyAlignment="1">
      <alignment vertical="center"/>
    </xf>
    <xf numFmtId="0" fontId="27" fillId="12" borderId="0" xfId="0" applyFont="1" applyFill="1" applyAlignment="1">
      <alignment vertical="center" wrapText="1"/>
    </xf>
    <xf numFmtId="0" fontId="13" fillId="4" borderId="0" xfId="0" applyFont="1" applyFill="1" applyAlignment="1">
      <alignment horizontal="center" vertical="center"/>
    </xf>
    <xf numFmtId="0" fontId="32" fillId="4" borderId="0" xfId="0" applyFont="1" applyFill="1" applyAlignment="1">
      <alignment vertical="center"/>
    </xf>
    <xf numFmtId="0" fontId="32" fillId="4" borderId="22" xfId="0" applyFont="1" applyFill="1" applyBorder="1" applyAlignment="1">
      <alignment vertical="center"/>
    </xf>
    <xf numFmtId="172" fontId="36" fillId="4" borderId="6" xfId="0" applyNumberFormat="1" applyFont="1" applyFill="1" applyBorder="1" applyAlignment="1">
      <alignment horizontal="center" vertical="center"/>
    </xf>
    <xf numFmtId="0" fontId="36" fillId="4" borderId="6" xfId="0" applyFont="1" applyFill="1" applyBorder="1" applyAlignment="1">
      <alignment horizontal="center" vertical="center"/>
    </xf>
    <xf numFmtId="0" fontId="32" fillId="4" borderId="17" xfId="0" applyFont="1" applyFill="1" applyBorder="1" applyAlignment="1">
      <alignment vertical="center"/>
    </xf>
    <xf numFmtId="0" fontId="36" fillId="4" borderId="17" xfId="0" applyFont="1" applyFill="1" applyBorder="1" applyAlignment="1">
      <alignment horizontal="center" vertical="center"/>
    </xf>
    <xf numFmtId="164" fontId="27" fillId="4" borderId="0" xfId="0" applyNumberFormat="1" applyFont="1" applyFill="1" applyAlignment="1">
      <alignment vertical="center"/>
    </xf>
    <xf numFmtId="0" fontId="38" fillId="4" borderId="17" xfId="0" applyFont="1" applyFill="1" applyBorder="1" applyAlignment="1">
      <alignment horizontal="center" vertical="center"/>
    </xf>
    <xf numFmtId="171" fontId="36" fillId="4" borderId="17" xfId="0" applyNumberFormat="1" applyFont="1" applyFill="1" applyBorder="1" applyAlignment="1">
      <alignment horizontal="center" vertical="center"/>
    </xf>
    <xf numFmtId="171" fontId="36" fillId="4" borderId="0" xfId="0" applyNumberFormat="1" applyFont="1" applyFill="1" applyAlignment="1">
      <alignment horizontal="center" vertical="center"/>
    </xf>
    <xf numFmtId="0" fontId="32" fillId="4" borderId="0" xfId="0" applyFont="1" applyFill="1" applyAlignment="1">
      <alignment horizontal="left" vertical="center" wrapText="1"/>
    </xf>
    <xf numFmtId="171" fontId="36" fillId="4" borderId="23" xfId="0" applyNumberFormat="1" applyFont="1" applyFill="1" applyBorder="1" applyAlignment="1">
      <alignment horizontal="center" vertical="center"/>
    </xf>
    <xf numFmtId="171" fontId="27" fillId="4" borderId="0" xfId="0" applyNumberFormat="1" applyFont="1" applyFill="1" applyAlignment="1">
      <alignment vertical="center"/>
    </xf>
    <xf numFmtId="168" fontId="26" fillId="12" borderId="0" xfId="0" applyNumberFormat="1" applyFont="1" applyFill="1" applyAlignment="1">
      <alignment horizontal="center" vertical="center"/>
    </xf>
    <xf numFmtId="0" fontId="15" fillId="4" borderId="22" xfId="0" applyFont="1" applyFill="1" applyBorder="1" applyAlignment="1">
      <alignment vertical="center"/>
    </xf>
    <xf numFmtId="0" fontId="15" fillId="4" borderId="17" xfId="0" applyFont="1" applyFill="1" applyBorder="1" applyAlignment="1">
      <alignment vertical="center"/>
    </xf>
    <xf numFmtId="171" fontId="18" fillId="4" borderId="0" xfId="0" applyNumberFormat="1" applyFont="1" applyFill="1" applyAlignment="1">
      <alignment vertical="center"/>
    </xf>
    <xf numFmtId="0" fontId="36" fillId="4" borderId="0" xfId="0" applyFont="1" applyFill="1" applyAlignment="1">
      <alignment horizontal="center" vertical="center" wrapText="1"/>
    </xf>
    <xf numFmtId="0" fontId="36" fillId="4" borderId="22" xfId="0" applyFont="1" applyFill="1" applyBorder="1" applyAlignment="1">
      <alignment horizontal="center" wrapText="1"/>
    </xf>
    <xf numFmtId="0" fontId="36" fillId="4" borderId="18" xfId="0" applyFont="1" applyFill="1" applyBorder="1" applyAlignment="1">
      <alignment horizontal="center" vertical="center"/>
    </xf>
    <xf numFmtId="0" fontId="39" fillId="4" borderId="17" xfId="0" applyFont="1" applyFill="1" applyBorder="1" applyAlignment="1">
      <alignment horizontal="center" vertical="center" wrapText="1"/>
    </xf>
    <xf numFmtId="0" fontId="39" fillId="4" borderId="18" xfId="0" applyFont="1" applyFill="1" applyBorder="1" applyAlignment="1">
      <alignment horizontal="center" vertical="center"/>
    </xf>
    <xf numFmtId="0" fontId="39" fillId="4" borderId="17" xfId="0" applyFont="1" applyFill="1" applyBorder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0" fontId="39" fillId="4" borderId="0" xfId="0" quotePrefix="1" applyFont="1" applyFill="1" applyAlignment="1">
      <alignment horizontal="center" vertical="center"/>
    </xf>
    <xf numFmtId="0" fontId="36" fillId="4" borderId="17" xfId="0" applyFont="1" applyFill="1" applyBorder="1" applyAlignment="1">
      <alignment horizontal="center" vertical="center" wrapText="1"/>
    </xf>
    <xf numFmtId="0" fontId="24" fillId="13" borderId="0" xfId="0" applyFont="1" applyFill="1" applyAlignment="1">
      <alignment vertical="center"/>
    </xf>
    <xf numFmtId="172" fontId="24" fillId="13" borderId="0" xfId="0" applyNumberFormat="1" applyFont="1" applyFill="1" applyAlignment="1">
      <alignment horizontal="center" vertical="center"/>
    </xf>
    <xf numFmtId="0" fontId="24" fillId="13" borderId="0" xfId="0" applyFont="1" applyFill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172" fontId="24" fillId="13" borderId="6" xfId="0" applyNumberFormat="1" applyFont="1" applyFill="1" applyBorder="1" applyAlignment="1">
      <alignment horizontal="center" vertical="center"/>
    </xf>
    <xf numFmtId="0" fontId="24" fillId="13" borderId="0" xfId="0" applyFont="1" applyFill="1" applyAlignment="1">
      <alignment horizontal="center" vertical="center"/>
    </xf>
    <xf numFmtId="0" fontId="27" fillId="6" borderId="0" xfId="0" applyFont="1" applyFill="1" applyAlignment="1">
      <alignment vertical="center" wrapText="1"/>
    </xf>
    <xf numFmtId="0" fontId="36" fillId="6" borderId="0" xfId="0" applyFont="1" applyFill="1" applyAlignment="1">
      <alignment horizontal="center" vertical="center"/>
    </xf>
    <xf numFmtId="0" fontId="12" fillId="6" borderId="0" xfId="0" applyFont="1" applyFill="1" applyAlignment="1">
      <alignment vertical="center"/>
    </xf>
    <xf numFmtId="0" fontId="33" fillId="6" borderId="0" xfId="0" applyFont="1" applyFill="1" applyAlignment="1">
      <alignment vertical="center"/>
    </xf>
    <xf numFmtId="0" fontId="33" fillId="6" borderId="17" xfId="0" applyFont="1" applyFill="1" applyBorder="1" applyAlignment="1">
      <alignment vertical="center"/>
    </xf>
    <xf numFmtId="172" fontId="29" fillId="6" borderId="6" xfId="0" applyNumberFormat="1" applyFont="1" applyFill="1" applyBorder="1" applyAlignment="1">
      <alignment horizontal="center" vertical="center"/>
    </xf>
    <xf numFmtId="0" fontId="29" fillId="6" borderId="17" xfId="0" applyFont="1" applyFill="1" applyBorder="1" applyAlignment="1">
      <alignment horizontal="center" vertical="center"/>
    </xf>
    <xf numFmtId="0" fontId="29" fillId="6" borderId="6" xfId="0" quotePrefix="1" applyFont="1" applyFill="1" applyBorder="1" applyAlignment="1">
      <alignment horizontal="center" vertical="center"/>
    </xf>
    <xf numFmtId="0" fontId="29" fillId="6" borderId="0" xfId="0" applyFont="1" applyFill="1" applyAlignment="1">
      <alignment horizontal="center" vertical="center"/>
    </xf>
    <xf numFmtId="172" fontId="29" fillId="6" borderId="0" xfId="0" applyNumberFormat="1" applyFont="1" applyFill="1" applyAlignment="1">
      <alignment horizontal="center" vertical="center"/>
    </xf>
    <xf numFmtId="0" fontId="29" fillId="6" borderId="6" xfId="0" applyFont="1" applyFill="1" applyBorder="1" applyAlignment="1">
      <alignment horizontal="center" vertical="center"/>
    </xf>
    <xf numFmtId="0" fontId="24" fillId="9" borderId="11" xfId="0" applyFont="1" applyFill="1" applyBorder="1" applyAlignment="1">
      <alignment horizontal="center" vertical="center" wrapText="1"/>
    </xf>
    <xf numFmtId="0" fontId="24" fillId="9" borderId="11" xfId="0" applyFont="1" applyFill="1" applyBorder="1"/>
    <xf numFmtId="172" fontId="24" fillId="9" borderId="11" xfId="0" applyNumberFormat="1" applyFont="1" applyFill="1" applyBorder="1" applyAlignment="1">
      <alignment wrapText="1"/>
    </xf>
    <xf numFmtId="0" fontId="33" fillId="9" borderId="11" xfId="0" applyFont="1" applyFill="1" applyBorder="1"/>
    <xf numFmtId="0" fontId="40" fillId="4" borderId="0" xfId="0" applyFont="1" applyFill="1"/>
    <xf numFmtId="0" fontId="28" fillId="4" borderId="0" xfId="0" applyFont="1" applyFill="1"/>
    <xf numFmtId="0" fontId="32" fillId="6" borderId="0" xfId="0" applyFont="1" applyFill="1"/>
    <xf numFmtId="0" fontId="21" fillId="6" borderId="0" xfId="0" applyFont="1" applyFill="1"/>
    <xf numFmtId="0" fontId="36" fillId="6" borderId="0" xfId="0" applyFont="1" applyFill="1" applyAlignment="1">
      <alignment horizontal="center"/>
    </xf>
    <xf numFmtId="0" fontId="13" fillId="6" borderId="0" xfId="0" applyFont="1" applyFill="1"/>
    <xf numFmtId="0" fontId="12" fillId="6" borderId="0" xfId="0" applyFont="1" applyFill="1"/>
    <xf numFmtId="0" fontId="27" fillId="6" borderId="17" xfId="0" applyFont="1" applyFill="1" applyBorder="1"/>
    <xf numFmtId="0" fontId="27" fillId="6" borderId="6" xfId="0" applyFont="1" applyFill="1" applyBorder="1"/>
    <xf numFmtId="0" fontId="12" fillId="6" borderId="17" xfId="0" applyFont="1" applyFill="1" applyBorder="1"/>
    <xf numFmtId="37" fontId="27" fillId="6" borderId="0" xfId="1" applyFont="1" applyFill="1"/>
    <xf numFmtId="174" fontId="18" fillId="6" borderId="17" xfId="2" applyFont="1" applyFill="1" applyBorder="1"/>
    <xf numFmtId="164" fontId="27" fillId="4" borderId="0" xfId="0" applyNumberFormat="1" applyFont="1" applyFill="1"/>
    <xf numFmtId="172" fontId="18" fillId="6" borderId="17" xfId="0" applyNumberFormat="1" applyFont="1" applyFill="1" applyBorder="1"/>
    <xf numFmtId="168" fontId="27" fillId="6" borderId="0" xfId="0" applyNumberFormat="1" applyFont="1" applyFill="1"/>
    <xf numFmtId="0" fontId="41" fillId="6" borderId="0" xfId="0" applyFont="1" applyFill="1" applyAlignment="1">
      <alignment horizontal="right" wrapText="1"/>
    </xf>
    <xf numFmtId="168" fontId="42" fillId="6" borderId="0" xfId="0" applyNumberFormat="1" applyFont="1" applyFill="1"/>
    <xf numFmtId="168" fontId="42" fillId="6" borderId="6" xfId="0" applyNumberFormat="1" applyFont="1" applyFill="1" applyBorder="1"/>
    <xf numFmtId="0" fontId="32" fillId="6" borderId="17" xfId="0" applyFont="1" applyFill="1" applyBorder="1"/>
    <xf numFmtId="0" fontId="12" fillId="6" borderId="0" xfId="0" applyFont="1" applyFill="1" applyAlignment="1">
      <alignment horizontal="center"/>
    </xf>
    <xf numFmtId="0" fontId="12" fillId="6" borderId="17" xfId="0" applyFont="1" applyFill="1" applyBorder="1" applyAlignment="1">
      <alignment horizontal="center"/>
    </xf>
    <xf numFmtId="171" fontId="18" fillId="4" borderId="0" xfId="0" applyNumberFormat="1" applyFont="1" applyFill="1"/>
    <xf numFmtId="171" fontId="18" fillId="12" borderId="0" xfId="0" applyNumberFormat="1" applyFont="1" applyFill="1"/>
    <xf numFmtId="0" fontId="42" fillId="6" borderId="17" xfId="0" applyFont="1" applyFill="1" applyBorder="1" applyAlignment="1">
      <alignment horizontal="left"/>
    </xf>
    <xf numFmtId="172" fontId="42" fillId="6" borderId="0" xfId="0" applyNumberFormat="1" applyFont="1" applyFill="1"/>
    <xf numFmtId="168" fontId="42" fillId="6" borderId="17" xfId="0" applyNumberFormat="1" applyFont="1" applyFill="1" applyBorder="1"/>
    <xf numFmtId="173" fontId="27" fillId="4" borderId="0" xfId="0" applyNumberFormat="1" applyFont="1" applyFill="1"/>
    <xf numFmtId="0" fontId="27" fillId="6" borderId="0" xfId="0" applyFont="1" applyFill="1" applyAlignment="1">
      <alignment horizontal="center"/>
    </xf>
    <xf numFmtId="172" fontId="27" fillId="6" borderId="0" xfId="0" applyNumberFormat="1" applyFont="1" applyFill="1"/>
    <xf numFmtId="175" fontId="27" fillId="6" borderId="0" xfId="0" applyNumberFormat="1" applyFont="1" applyFill="1"/>
    <xf numFmtId="40" fontId="18" fillId="6" borderId="0" xfId="5" applyFont="1" applyFill="1"/>
    <xf numFmtId="176" fontId="27" fillId="6" borderId="0" xfId="3" applyFont="1" applyFill="1"/>
    <xf numFmtId="0" fontId="36" fillId="6" borderId="17" xfId="0" applyFont="1" applyFill="1" applyBorder="1" applyAlignment="1">
      <alignment horizontal="center" vertical="center"/>
    </xf>
    <xf numFmtId="0" fontId="27" fillId="6" borderId="18" xfId="0" applyFont="1" applyFill="1" applyBorder="1" applyAlignment="1">
      <alignment horizontal="center" vertical="center"/>
    </xf>
    <xf numFmtId="40" fontId="18" fillId="6" borderId="17" xfId="5" applyFont="1" applyFill="1" applyBorder="1"/>
    <xf numFmtId="173" fontId="27" fillId="4" borderId="0" xfId="0" applyNumberFormat="1" applyFont="1" applyFill="1" applyAlignment="1">
      <alignment horizontal="justify" vertical="distributed"/>
    </xf>
    <xf numFmtId="173" fontId="27" fillId="12" borderId="0" xfId="0" applyNumberFormat="1" applyFont="1" applyFill="1" applyAlignment="1">
      <alignment horizontal="justify" vertical="distributed"/>
    </xf>
    <xf numFmtId="0" fontId="39" fillId="6" borderId="17" xfId="0" applyFont="1" applyFill="1" applyBorder="1" applyAlignment="1">
      <alignment horizontal="center"/>
    </xf>
    <xf numFmtId="0" fontId="27" fillId="6" borderId="18" xfId="0" applyFont="1" applyFill="1" applyBorder="1" applyAlignment="1">
      <alignment horizontal="center"/>
    </xf>
    <xf numFmtId="170" fontId="27" fillId="6" borderId="17" xfId="0" applyNumberFormat="1" applyFont="1" applyFill="1" applyBorder="1" applyAlignment="1">
      <alignment horizontal="center"/>
    </xf>
    <xf numFmtId="170" fontId="27" fillId="6" borderId="18" xfId="0" applyNumberFormat="1" applyFont="1" applyFill="1" applyBorder="1" applyAlignment="1">
      <alignment horizontal="center"/>
    </xf>
    <xf numFmtId="2" fontId="27" fillId="6" borderId="0" xfId="0" applyNumberFormat="1" applyFont="1" applyFill="1"/>
    <xf numFmtId="2" fontId="27" fillId="6" borderId="0" xfId="0" applyNumberFormat="1" applyFont="1" applyFill="1" applyAlignment="1">
      <alignment horizontal="right" vertical="center"/>
    </xf>
    <xf numFmtId="0" fontId="27" fillId="4" borderId="0" xfId="0" applyFont="1" applyFill="1" applyAlignment="1">
      <alignment horizontal="center"/>
    </xf>
    <xf numFmtId="0" fontId="27" fillId="12" borderId="0" xfId="0" applyFont="1" applyFill="1" applyAlignment="1">
      <alignment horizontal="center"/>
    </xf>
    <xf numFmtId="177" fontId="27" fillId="6" borderId="0" xfId="0" applyNumberFormat="1" applyFont="1" applyFill="1" applyAlignment="1">
      <alignment horizontal="center"/>
    </xf>
    <xf numFmtId="2" fontId="27" fillId="6" borderId="0" xfId="0" applyNumberFormat="1" applyFont="1" applyFill="1" applyAlignment="1">
      <alignment horizontal="center"/>
    </xf>
    <xf numFmtId="172" fontId="27" fillId="4" borderId="0" xfId="0" applyNumberFormat="1" applyFont="1" applyFill="1" applyAlignment="1">
      <alignment horizontal="center"/>
    </xf>
    <xf numFmtId="0" fontId="24" fillId="9" borderId="17" xfId="0" applyFont="1" applyFill="1" applyBorder="1" applyAlignment="1">
      <alignment horizontal="center"/>
    </xf>
    <xf numFmtId="0" fontId="24" fillId="9" borderId="18" xfId="0" applyFont="1" applyFill="1" applyBorder="1" applyAlignment="1">
      <alignment vertical="center" wrapText="1"/>
    </xf>
    <xf numFmtId="0" fontId="24" fillId="9" borderId="18" xfId="0" applyFont="1" applyFill="1" applyBorder="1" applyAlignment="1">
      <alignment horizontal="right" vertical="center"/>
    </xf>
    <xf numFmtId="170" fontId="24" fillId="9" borderId="0" xfId="0" applyNumberFormat="1" applyFont="1" applyFill="1" applyAlignment="1">
      <alignment horizontal="center" vertical="center" wrapText="1"/>
    </xf>
    <xf numFmtId="2" fontId="24" fillId="9" borderId="17" xfId="0" applyNumberFormat="1" applyFont="1" applyFill="1" applyBorder="1" applyAlignment="1">
      <alignment horizontal="right" vertical="center" wrapText="1"/>
    </xf>
    <xf numFmtId="2" fontId="24" fillId="9" borderId="0" xfId="0" applyNumberFormat="1" applyFont="1" applyFill="1" applyAlignment="1">
      <alignment horizontal="right" vertical="center" wrapText="1"/>
    </xf>
    <xf numFmtId="10" fontId="24" fillId="9" borderId="0" xfId="0" applyNumberFormat="1" applyFont="1" applyFill="1" applyAlignment="1">
      <alignment horizontal="center" vertical="center" wrapText="1"/>
    </xf>
    <xf numFmtId="171" fontId="26" fillId="4" borderId="0" xfId="0" applyNumberFormat="1" applyFont="1" applyFill="1" applyAlignment="1">
      <alignment horizontal="center" vertical="top" wrapText="1"/>
    </xf>
    <xf numFmtId="10" fontId="27" fillId="12" borderId="0" xfId="0" applyNumberFormat="1" applyFont="1" applyFill="1"/>
    <xf numFmtId="0" fontId="27" fillId="6" borderId="17" xfId="0" applyFont="1" applyFill="1" applyBorder="1" applyAlignment="1">
      <alignment horizontal="center"/>
    </xf>
    <xf numFmtId="0" fontId="27" fillId="12" borderId="0" xfId="0" applyFont="1" applyFill="1" applyAlignment="1">
      <alignment vertical="top" wrapText="1"/>
    </xf>
    <xf numFmtId="0" fontId="36" fillId="4" borderId="0" xfId="0" applyFont="1" applyFill="1" applyAlignment="1">
      <alignment horizontal="center"/>
    </xf>
    <xf numFmtId="0" fontId="30" fillId="4" borderId="0" xfId="0" applyFont="1" applyFill="1"/>
    <xf numFmtId="0" fontId="27" fillId="4" borderId="17" xfId="0" applyFont="1" applyFill="1" applyBorder="1"/>
    <xf numFmtId="40" fontId="18" fillId="4" borderId="17" xfId="5" applyFont="1" applyFill="1" applyBorder="1"/>
    <xf numFmtId="40" fontId="18" fillId="4" borderId="0" xfId="5" applyFont="1" applyFill="1"/>
    <xf numFmtId="174" fontId="18" fillId="4" borderId="17" xfId="2" applyFont="1" applyFill="1" applyBorder="1"/>
    <xf numFmtId="176" fontId="27" fillId="4" borderId="0" xfId="3" applyFont="1" applyFill="1"/>
    <xf numFmtId="0" fontId="27" fillId="4" borderId="0" xfId="0" applyFont="1" applyFill="1" applyAlignment="1">
      <alignment horizontal="left" vertical="center" wrapText="1" indent="1"/>
    </xf>
    <xf numFmtId="0" fontId="18" fillId="4" borderId="0" xfId="0" applyFont="1" applyFill="1" applyAlignment="1">
      <alignment horizontal="left" indent="1"/>
    </xf>
    <xf numFmtId="172" fontId="27" fillId="4" borderId="0" xfId="0" applyNumberFormat="1" applyFont="1" applyFill="1"/>
    <xf numFmtId="165" fontId="27" fillId="4" borderId="0" xfId="0" applyNumberFormat="1" applyFont="1" applyFill="1"/>
    <xf numFmtId="178" fontId="27" fillId="4" borderId="0" xfId="0" applyNumberFormat="1" applyFont="1" applyFill="1"/>
    <xf numFmtId="170" fontId="27" fillId="4" borderId="0" xfId="0" applyNumberFormat="1" applyFont="1" applyFill="1"/>
    <xf numFmtId="176" fontId="27" fillId="4" borderId="0" xfId="0" applyNumberFormat="1" applyFont="1" applyFill="1"/>
    <xf numFmtId="176" fontId="19" fillId="4" borderId="0" xfId="3" applyFont="1" applyFill="1"/>
    <xf numFmtId="176" fontId="19" fillId="4" borderId="6" xfId="3" applyFont="1" applyFill="1" applyBorder="1"/>
    <xf numFmtId="0" fontId="12" fillId="4" borderId="17" xfId="0" applyFont="1" applyFill="1" applyBorder="1"/>
    <xf numFmtId="37" fontId="27" fillId="4" borderId="0" xfId="1" applyFont="1" applyFill="1"/>
    <xf numFmtId="172" fontId="18" fillId="4" borderId="17" xfId="0" applyNumberFormat="1" applyFont="1" applyFill="1" applyBorder="1"/>
    <xf numFmtId="174" fontId="18" fillId="0" borderId="17" xfId="2" applyFont="1" applyBorder="1"/>
    <xf numFmtId="174" fontId="18" fillId="0" borderId="0" xfId="2" applyFont="1"/>
    <xf numFmtId="0" fontId="19" fillId="4" borderId="0" xfId="0" applyFont="1" applyFill="1" applyAlignment="1">
      <alignment horizontal="left"/>
    </xf>
    <xf numFmtId="0" fontId="43" fillId="4" borderId="0" xfId="0" applyFont="1" applyFill="1" applyAlignment="1">
      <alignment horizontal="center"/>
    </xf>
    <xf numFmtId="0" fontId="19" fillId="4" borderId="17" xfId="0" applyFont="1" applyFill="1" applyBorder="1" applyAlignment="1">
      <alignment horizontal="left" wrapText="1"/>
    </xf>
    <xf numFmtId="0" fontId="27" fillId="0" borderId="0" xfId="0" applyFont="1"/>
    <xf numFmtId="0" fontId="18" fillId="4" borderId="17" xfId="0" applyFont="1" applyFill="1" applyBorder="1"/>
    <xf numFmtId="0" fontId="36" fillId="4" borderId="17" xfId="0" applyFont="1" applyFill="1" applyBorder="1" applyAlignment="1">
      <alignment horizontal="center"/>
    </xf>
    <xf numFmtId="0" fontId="27" fillId="4" borderId="18" xfId="0" applyFont="1" applyFill="1" applyBorder="1" applyAlignment="1">
      <alignment horizontal="center"/>
    </xf>
    <xf numFmtId="0" fontId="39" fillId="4" borderId="17" xfId="0" applyFont="1" applyFill="1" applyBorder="1" applyAlignment="1">
      <alignment horizontal="center"/>
    </xf>
    <xf numFmtId="170" fontId="27" fillId="4" borderId="17" xfId="0" applyNumberFormat="1" applyFont="1" applyFill="1" applyBorder="1" applyAlignment="1">
      <alignment horizontal="center"/>
    </xf>
    <xf numFmtId="170" fontId="27" fillId="4" borderId="18" xfId="0" applyNumberFormat="1" applyFont="1" applyFill="1" applyBorder="1" applyAlignment="1">
      <alignment horizontal="center"/>
    </xf>
    <xf numFmtId="2" fontId="27" fillId="4" borderId="0" xfId="0" applyNumberFormat="1" applyFont="1" applyFill="1"/>
    <xf numFmtId="37" fontId="27" fillId="0" borderId="0" xfId="1" applyFont="1"/>
    <xf numFmtId="2" fontId="27" fillId="4" borderId="0" xfId="0" applyNumberFormat="1" applyFont="1" applyFill="1" applyAlignment="1">
      <alignment horizontal="right" vertical="center"/>
    </xf>
    <xf numFmtId="177" fontId="18" fillId="4" borderId="0" xfId="0" applyNumberFormat="1" applyFont="1" applyFill="1" applyAlignment="1">
      <alignment horizontal="center"/>
    </xf>
    <xf numFmtId="2" fontId="27" fillId="4" borderId="0" xfId="0" applyNumberFormat="1" applyFont="1" applyFill="1" applyAlignment="1">
      <alignment horizontal="center"/>
    </xf>
    <xf numFmtId="0" fontId="36" fillId="14" borderId="17" xfId="0" applyFont="1" applyFill="1" applyBorder="1" applyAlignment="1">
      <alignment horizontal="center"/>
    </xf>
    <xf numFmtId="0" fontId="27" fillId="14" borderId="18" xfId="0" applyFont="1" applyFill="1" applyBorder="1" applyAlignment="1">
      <alignment horizontal="center"/>
    </xf>
    <xf numFmtId="2" fontId="27" fillId="14" borderId="18" xfId="0" applyNumberFormat="1" applyFont="1" applyFill="1" applyBorder="1" applyAlignment="1">
      <alignment horizontal="right" vertical="center"/>
    </xf>
    <xf numFmtId="179" fontId="27" fillId="6" borderId="0" xfId="0" applyNumberFormat="1" applyFont="1" applyFill="1"/>
    <xf numFmtId="174" fontId="18" fillId="14" borderId="17" xfId="2" applyFont="1" applyFill="1" applyBorder="1"/>
    <xf numFmtId="174" fontId="18" fillId="14" borderId="0" xfId="2" applyFont="1" applyFill="1"/>
    <xf numFmtId="0" fontId="27" fillId="4" borderId="17" xfId="0" applyFont="1" applyFill="1" applyBorder="1" applyAlignment="1">
      <alignment horizontal="center"/>
    </xf>
    <xf numFmtId="180" fontId="18" fillId="6" borderId="0" xfId="5" applyNumberFormat="1" applyFont="1" applyFill="1"/>
    <xf numFmtId="0" fontId="26" fillId="6" borderId="0" xfId="0" applyFont="1" applyFill="1"/>
    <xf numFmtId="176" fontId="27" fillId="6" borderId="0" xfId="0" applyNumberFormat="1" applyFont="1" applyFill="1"/>
    <xf numFmtId="0" fontId="30" fillId="6" borderId="0" xfId="0" applyFont="1" applyFill="1"/>
    <xf numFmtId="0" fontId="36" fillId="6" borderId="0" xfId="0" applyFont="1" applyFill="1" applyAlignment="1">
      <alignment horizontal="center" vertical="center" wrapText="1"/>
    </xf>
    <xf numFmtId="0" fontId="27" fillId="6" borderId="0" xfId="0" applyFont="1" applyFill="1" applyAlignment="1">
      <alignment horizontal="left" vertical="center" wrapText="1" indent="1"/>
    </xf>
    <xf numFmtId="181" fontId="18" fillId="6" borderId="0" xfId="5" applyNumberFormat="1" applyFont="1" applyFill="1"/>
    <xf numFmtId="0" fontId="18" fillId="6" borderId="0" xfId="0" applyFont="1" applyFill="1" applyAlignment="1">
      <alignment horizontal="left" indent="1"/>
    </xf>
    <xf numFmtId="170" fontId="27" fillId="6" borderId="0" xfId="0" applyNumberFormat="1" applyFont="1" applyFill="1" applyAlignment="1">
      <alignment horizontal="center"/>
    </xf>
    <xf numFmtId="0" fontId="18" fillId="6" borderId="0" xfId="0" applyFont="1" applyFill="1"/>
    <xf numFmtId="0" fontId="27" fillId="6" borderId="0" xfId="0" applyFont="1" applyFill="1" applyAlignment="1">
      <alignment horizontal="left" indent="1"/>
    </xf>
    <xf numFmtId="165" fontId="27" fillId="6" borderId="0" xfId="0" applyNumberFormat="1" applyFont="1" applyFill="1"/>
    <xf numFmtId="178" fontId="27" fillId="6" borderId="0" xfId="0" applyNumberFormat="1" applyFont="1" applyFill="1"/>
    <xf numFmtId="170" fontId="27" fillId="6" borderId="0" xfId="0" applyNumberFormat="1" applyFont="1" applyFill="1"/>
    <xf numFmtId="176" fontId="19" fillId="6" borderId="0" xfId="3" applyFont="1" applyFill="1"/>
    <xf numFmtId="176" fontId="19" fillId="6" borderId="6" xfId="3" applyFont="1" applyFill="1" applyBorder="1"/>
    <xf numFmtId="0" fontId="36" fillId="6" borderId="7" xfId="0" applyFont="1" applyFill="1" applyBorder="1" applyAlignment="1">
      <alignment horizontal="center"/>
    </xf>
    <xf numFmtId="0" fontId="12" fillId="6" borderId="24" xfId="0" applyFont="1" applyFill="1" applyBorder="1"/>
    <xf numFmtId="37" fontId="27" fillId="6" borderId="7" xfId="1" applyFont="1" applyFill="1" applyBorder="1"/>
    <xf numFmtId="174" fontId="18" fillId="6" borderId="7" xfId="2" applyFont="1" applyFill="1" applyBorder="1"/>
    <xf numFmtId="174" fontId="18" fillId="6" borderId="24" xfId="2" applyFont="1" applyFill="1" applyBorder="1"/>
    <xf numFmtId="172" fontId="18" fillId="6" borderId="24" xfId="0" applyNumberFormat="1" applyFont="1" applyFill="1" applyBorder="1"/>
    <xf numFmtId="168" fontId="27" fillId="6" borderId="7" xfId="0" applyNumberFormat="1" applyFont="1" applyFill="1" applyBorder="1"/>
    <xf numFmtId="0" fontId="19" fillId="6" borderId="0" xfId="0" applyFont="1" applyFill="1" applyAlignment="1">
      <alignment horizontal="left"/>
    </xf>
    <xf numFmtId="0" fontId="27" fillId="6" borderId="24" xfId="0" applyFont="1" applyFill="1" applyBorder="1"/>
    <xf numFmtId="0" fontId="43" fillId="6" borderId="0" xfId="0" applyFont="1" applyFill="1" applyAlignment="1">
      <alignment horizontal="center"/>
    </xf>
    <xf numFmtId="0" fontId="19" fillId="6" borderId="17" xfId="0" applyFont="1" applyFill="1" applyBorder="1" applyAlignment="1">
      <alignment horizontal="left" wrapText="1"/>
    </xf>
    <xf numFmtId="171" fontId="27" fillId="12" borderId="0" xfId="0" applyNumberFormat="1" applyFont="1" applyFill="1"/>
    <xf numFmtId="0" fontId="18" fillId="6" borderId="17" xfId="0" applyFont="1" applyFill="1" applyBorder="1"/>
    <xf numFmtId="0" fontId="36" fillId="6" borderId="17" xfId="0" applyFont="1" applyFill="1" applyBorder="1" applyAlignment="1">
      <alignment horizontal="center"/>
    </xf>
    <xf numFmtId="2" fontId="27" fillId="4" borderId="18" xfId="0" applyNumberFormat="1" applyFont="1" applyFill="1" applyBorder="1" applyAlignment="1">
      <alignment horizontal="right" vertical="center"/>
    </xf>
    <xf numFmtId="179" fontId="27" fillId="4" borderId="0" xfId="0" applyNumberFormat="1" applyFont="1" applyFill="1"/>
    <xf numFmtId="0" fontId="18" fillId="6" borderId="11" xfId="0" applyFont="1" applyFill="1" applyBorder="1" applyAlignment="1">
      <alignment horizontal="left" indent="1"/>
    </xf>
    <xf numFmtId="180" fontId="18" fillId="4" borderId="0" xfId="5" applyNumberFormat="1" applyFont="1" applyFill="1"/>
    <xf numFmtId="172" fontId="25" fillId="9" borderId="11" xfId="0" applyNumberFormat="1" applyFont="1" applyFill="1" applyBorder="1" applyAlignment="1">
      <alignment wrapText="1"/>
    </xf>
    <xf numFmtId="0" fontId="40" fillId="9" borderId="11" xfId="0" applyFont="1" applyFill="1" applyBorder="1"/>
    <xf numFmtId="0" fontId="36" fillId="4" borderId="11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left" indent="1"/>
    </xf>
    <xf numFmtId="167" fontId="27" fillId="4" borderId="11" xfId="0" applyNumberFormat="1" applyFont="1" applyFill="1" applyBorder="1" applyAlignment="1">
      <alignment horizontal="right"/>
    </xf>
    <xf numFmtId="0" fontId="26" fillId="12" borderId="0" xfId="0" applyFont="1" applyFill="1" applyAlignment="1">
      <alignment horizontal="center" wrapText="1"/>
    </xf>
    <xf numFmtId="0" fontId="36" fillId="4" borderId="14" xfId="0" applyFont="1" applyFill="1" applyBorder="1" applyAlignment="1">
      <alignment horizontal="center"/>
    </xf>
    <xf numFmtId="0" fontId="12" fillId="4" borderId="25" xfId="0" applyFont="1" applyFill="1" applyBorder="1"/>
    <xf numFmtId="37" fontId="21" fillId="4" borderId="14" xfId="1" applyFont="1" applyFill="1" applyBorder="1"/>
    <xf numFmtId="174" fontId="12" fillId="4" borderId="14" xfId="2" applyFont="1" applyFill="1" applyBorder="1"/>
    <xf numFmtId="174" fontId="12" fillId="4" borderId="25" xfId="2" applyFont="1" applyFill="1" applyBorder="1"/>
    <xf numFmtId="168" fontId="12" fillId="4" borderId="14" xfId="0" applyNumberFormat="1" applyFont="1" applyFill="1" applyBorder="1"/>
    <xf numFmtId="174" fontId="18" fillId="0" borderId="25" xfId="2" applyFont="1" applyBorder="1"/>
    <xf numFmtId="174" fontId="18" fillId="4" borderId="14" xfId="2" applyFont="1" applyFill="1" applyBorder="1"/>
    <xf numFmtId="174" fontId="12" fillId="0" borderId="26" xfId="2" applyFont="1" applyBorder="1"/>
    <xf numFmtId="174" fontId="12" fillId="0" borderId="27" xfId="2" applyFont="1" applyBorder="1"/>
    <xf numFmtId="0" fontId="36" fillId="4" borderId="28" xfId="0" applyFont="1" applyFill="1" applyBorder="1" applyAlignment="1">
      <alignment horizontal="center"/>
    </xf>
    <xf numFmtId="37" fontId="12" fillId="4" borderId="29" xfId="0" applyNumberFormat="1" applyFont="1" applyFill="1" applyBorder="1" applyAlignment="1">
      <alignment horizontal="right"/>
    </xf>
    <xf numFmtId="174" fontId="12" fillId="4" borderId="28" xfId="2" applyFont="1" applyFill="1" applyBorder="1"/>
    <xf numFmtId="174" fontId="12" fillId="4" borderId="29" xfId="2" applyFont="1" applyFill="1" applyBorder="1"/>
    <xf numFmtId="0" fontId="36" fillId="4" borderId="30" xfId="0" applyFont="1" applyFill="1" applyBorder="1" applyAlignment="1">
      <alignment horizontal="center"/>
    </xf>
    <xf numFmtId="174" fontId="18" fillId="4" borderId="30" xfId="2" applyFont="1" applyFill="1" applyBorder="1"/>
    <xf numFmtId="177" fontId="27" fillId="4" borderId="0" xfId="0" applyNumberFormat="1" applyFont="1" applyFill="1" applyAlignment="1">
      <alignment horizontal="center"/>
    </xf>
    <xf numFmtId="0" fontId="29" fillId="4" borderId="0" xfId="0" applyFont="1" applyFill="1" applyAlignment="1">
      <alignment horizontal="center"/>
    </xf>
    <xf numFmtId="172" fontId="26" fillId="4" borderId="0" xfId="0" applyNumberFormat="1" applyFont="1" applyFill="1"/>
    <xf numFmtId="168" fontId="28" fillId="4" borderId="0" xfId="0" applyNumberFormat="1" applyFont="1" applyFill="1"/>
    <xf numFmtId="0" fontId="18" fillId="6" borderId="0" xfId="0" applyFont="1" applyFill="1" applyAlignment="1">
      <alignment horizontal="left"/>
    </xf>
    <xf numFmtId="0" fontId="44" fillId="4" borderId="0" xfId="0" applyFont="1" applyFill="1"/>
    <xf numFmtId="173" fontId="27" fillId="12" borderId="0" xfId="0" applyNumberFormat="1" applyFont="1" applyFill="1"/>
    <xf numFmtId="10" fontId="21" fillId="6" borderId="0" xfId="0" applyNumberFormat="1" applyFont="1" applyFill="1"/>
    <xf numFmtId="182" fontId="45" fillId="6" borderId="0" xfId="2" applyNumberFormat="1" applyFont="1" applyFill="1"/>
    <xf numFmtId="0" fontId="36" fillId="4" borderId="11" xfId="0" applyFont="1" applyFill="1" applyBorder="1" applyAlignment="1">
      <alignment horizontal="center"/>
    </xf>
    <xf numFmtId="0" fontId="18" fillId="4" borderId="11" xfId="0" applyFont="1" applyFill="1" applyBorder="1"/>
    <xf numFmtId="0" fontId="27" fillId="4" borderId="16" xfId="0" applyFont="1" applyFill="1" applyBorder="1"/>
    <xf numFmtId="165" fontId="27" fillId="4" borderId="11" xfId="0" applyNumberFormat="1" applyFont="1" applyFill="1" applyBorder="1"/>
    <xf numFmtId="178" fontId="27" fillId="4" borderId="11" xfId="0" applyNumberFormat="1" applyFont="1" applyFill="1" applyBorder="1"/>
    <xf numFmtId="170" fontId="27" fillId="4" borderId="11" xfId="0" applyNumberFormat="1" applyFont="1" applyFill="1" applyBorder="1"/>
    <xf numFmtId="176" fontId="27" fillId="4" borderId="11" xfId="0" applyNumberFormat="1" applyFont="1" applyFill="1" applyBorder="1"/>
    <xf numFmtId="0" fontId="27" fillId="4" borderId="11" xfId="0" applyFont="1" applyFill="1" applyBorder="1"/>
    <xf numFmtId="176" fontId="19" fillId="4" borderId="10" xfId="3" applyFont="1" applyFill="1" applyBorder="1"/>
    <xf numFmtId="172" fontId="18" fillId="4" borderId="0" xfId="0" applyNumberFormat="1" applyFont="1" applyFill="1"/>
    <xf numFmtId="0" fontId="36" fillId="4" borderId="7" xfId="0" applyFont="1" applyFill="1" applyBorder="1" applyAlignment="1">
      <alignment horizontal="center"/>
    </xf>
    <xf numFmtId="0" fontId="18" fillId="4" borderId="7" xfId="0" applyFont="1" applyFill="1" applyBorder="1" applyAlignment="1">
      <alignment horizontal="left"/>
    </xf>
    <xf numFmtId="174" fontId="18" fillId="4" borderId="7" xfId="2" applyFont="1" applyFill="1" applyBorder="1"/>
    <xf numFmtId="174" fontId="18" fillId="4" borderId="31" xfId="2" applyFont="1" applyFill="1" applyBorder="1"/>
    <xf numFmtId="0" fontId="27" fillId="0" borderId="7" xfId="0" applyFont="1" applyBorder="1"/>
    <xf numFmtId="0" fontId="25" fillId="9" borderId="0" xfId="0" applyFont="1" applyFill="1"/>
    <xf numFmtId="10" fontId="19" fillId="4" borderId="0" xfId="3" applyNumberFormat="1" applyFont="1" applyFill="1"/>
    <xf numFmtId="0" fontId="27" fillId="4" borderId="0" xfId="0" applyFont="1" applyFill="1" applyAlignment="1">
      <alignment horizontal="left" vertical="top" wrapText="1" indent="1"/>
    </xf>
    <xf numFmtId="176" fontId="27" fillId="12" borderId="0" xfId="0" applyNumberFormat="1" applyFont="1" applyFill="1"/>
    <xf numFmtId="183" fontId="27" fillId="6" borderId="0" xfId="0" applyNumberFormat="1" applyFont="1" applyFill="1"/>
    <xf numFmtId="176" fontId="19" fillId="6" borderId="21" xfId="3" applyFont="1" applyFill="1" applyBorder="1"/>
    <xf numFmtId="0" fontId="36" fillId="6" borderId="14" xfId="0" applyFont="1" applyFill="1" applyBorder="1" applyAlignment="1">
      <alignment horizontal="center"/>
    </xf>
    <xf numFmtId="0" fontId="12" fillId="6" borderId="14" xfId="0" applyFont="1" applyFill="1" applyBorder="1"/>
    <xf numFmtId="174" fontId="12" fillId="6" borderId="28" xfId="2" applyFont="1" applyFill="1" applyBorder="1"/>
    <xf numFmtId="174" fontId="12" fillId="6" borderId="29" xfId="2" applyFont="1" applyFill="1" applyBorder="1"/>
    <xf numFmtId="0" fontId="12" fillId="6" borderId="25" xfId="0" applyFont="1" applyFill="1" applyBorder="1"/>
    <xf numFmtId="180" fontId="18" fillId="4" borderId="11" xfId="5" applyNumberFormat="1" applyFont="1" applyFill="1" applyBorder="1"/>
    <xf numFmtId="176" fontId="18" fillId="4" borderId="11" xfId="0" applyNumberFormat="1" applyFont="1" applyFill="1" applyBorder="1"/>
    <xf numFmtId="0" fontId="12" fillId="4" borderId="0" xfId="0" applyFont="1" applyFill="1"/>
    <xf numFmtId="0" fontId="32" fillId="4" borderId="0" xfId="0" applyFont="1" applyFill="1"/>
    <xf numFmtId="0" fontId="32" fillId="4" borderId="17" xfId="0" applyFont="1" applyFill="1" applyBorder="1"/>
    <xf numFmtId="166" fontId="27" fillId="4" borderId="11" xfId="0" applyNumberFormat="1" applyFont="1" applyFill="1" applyBorder="1"/>
    <xf numFmtId="0" fontId="27" fillId="4" borderId="24" xfId="0" applyFont="1" applyFill="1" applyBorder="1"/>
    <xf numFmtId="174" fontId="12" fillId="4" borderId="0" xfId="2" applyFont="1" applyFill="1"/>
    <xf numFmtId="174" fontId="27" fillId="6" borderId="0" xfId="0" applyNumberFormat="1" applyFont="1" applyFill="1"/>
    <xf numFmtId="0" fontId="25" fillId="4" borderId="0" xfId="0" applyFont="1" applyFill="1"/>
    <xf numFmtId="168" fontId="27" fillId="4" borderId="0" xfId="0" applyNumberFormat="1" applyFont="1" applyFill="1" applyAlignment="1">
      <alignment horizontal="center"/>
    </xf>
    <xf numFmtId="0" fontId="36" fillId="6" borderId="11" xfId="0" applyFont="1" applyFill="1" applyBorder="1" applyAlignment="1">
      <alignment horizontal="center"/>
    </xf>
    <xf numFmtId="0" fontId="18" fillId="6" borderId="11" xfId="0" applyFont="1" applyFill="1" applyBorder="1"/>
    <xf numFmtId="0" fontId="27" fillId="6" borderId="11" xfId="0" applyFont="1" applyFill="1" applyBorder="1"/>
    <xf numFmtId="0" fontId="27" fillId="6" borderId="16" xfId="0" applyFont="1" applyFill="1" applyBorder="1"/>
    <xf numFmtId="165" fontId="27" fillId="6" borderId="11" xfId="0" applyNumberFormat="1" applyFont="1" applyFill="1" applyBorder="1"/>
    <xf numFmtId="178" fontId="27" fillId="6" borderId="11" xfId="0" applyNumberFormat="1" applyFont="1" applyFill="1" applyBorder="1"/>
    <xf numFmtId="170" fontId="27" fillId="6" borderId="11" xfId="0" applyNumberFormat="1" applyFont="1" applyFill="1" applyBorder="1"/>
    <xf numFmtId="176" fontId="27" fillId="6" borderId="11" xfId="0" applyNumberFormat="1" applyFont="1" applyFill="1" applyBorder="1"/>
    <xf numFmtId="176" fontId="19" fillId="6" borderId="10" xfId="3" applyFont="1" applyFill="1" applyBorder="1"/>
    <xf numFmtId="0" fontId="13" fillId="4" borderId="0" xfId="0" applyFont="1" applyFill="1"/>
    <xf numFmtId="0" fontId="21" fillId="4" borderId="0" xfId="0" applyFont="1" applyFill="1"/>
    <xf numFmtId="176" fontId="19" fillId="4" borderId="21" xfId="3" applyFont="1" applyFill="1" applyBorder="1"/>
    <xf numFmtId="0" fontId="43" fillId="6" borderId="11" xfId="0" applyFont="1" applyFill="1" applyBorder="1" applyAlignment="1">
      <alignment horizontal="center"/>
    </xf>
    <xf numFmtId="0" fontId="21" fillId="6" borderId="16" xfId="0" applyFont="1" applyFill="1" applyBorder="1" applyAlignment="1">
      <alignment horizontal="right" wrapText="1"/>
    </xf>
    <xf numFmtId="174" fontId="12" fillId="6" borderId="17" xfId="2" applyFont="1" applyFill="1" applyBorder="1"/>
    <xf numFmtId="174" fontId="12" fillId="4" borderId="6" xfId="2" applyFont="1" applyFill="1" applyBorder="1"/>
    <xf numFmtId="40" fontId="12" fillId="4" borderId="17" xfId="5" applyFont="1" applyFill="1" applyBorder="1"/>
    <xf numFmtId="40" fontId="12" fillId="4" borderId="0" xfId="5" applyFont="1" applyFill="1"/>
    <xf numFmtId="174" fontId="12" fillId="4" borderId="17" xfId="2" applyFont="1" applyFill="1" applyBorder="1"/>
    <xf numFmtId="176" fontId="21" fillId="4" borderId="0" xfId="3" applyFont="1" applyFill="1"/>
    <xf numFmtId="0" fontId="36" fillId="4" borderId="14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left" indent="1"/>
    </xf>
    <xf numFmtId="167" fontId="27" fillId="4" borderId="14" xfId="0" applyNumberFormat="1" applyFont="1" applyFill="1" applyBorder="1" applyAlignment="1">
      <alignment horizontal="right"/>
    </xf>
    <xf numFmtId="168" fontId="26" fillId="4" borderId="0" xfId="0" applyNumberFormat="1" applyFont="1" applyFill="1"/>
    <xf numFmtId="174" fontId="18" fillId="4" borderId="21" xfId="2" applyFont="1" applyFill="1" applyBorder="1"/>
    <xf numFmtId="174" fontId="18" fillId="4" borderId="22" xfId="2" applyFont="1" applyFill="1" applyBorder="1"/>
    <xf numFmtId="180" fontId="12" fillId="6" borderId="0" xfId="5" applyNumberFormat="1" applyFont="1" applyFill="1"/>
    <xf numFmtId="174" fontId="12" fillId="6" borderId="6" xfId="2" applyFont="1" applyFill="1" applyBorder="1"/>
    <xf numFmtId="174" fontId="12" fillId="6" borderId="21" xfId="2" applyFont="1" applyFill="1" applyBorder="1"/>
    <xf numFmtId="40" fontId="12" fillId="6" borderId="17" xfId="5" applyFont="1" applyFill="1" applyBorder="1"/>
    <xf numFmtId="40" fontId="12" fillId="6" borderId="0" xfId="5" applyFont="1" applyFill="1"/>
    <xf numFmtId="176" fontId="21" fillId="6" borderId="0" xfId="3" applyFont="1" applyFill="1"/>
    <xf numFmtId="0" fontId="36" fillId="4" borderId="0" xfId="0" applyFont="1" applyFill="1"/>
    <xf numFmtId="0" fontId="27" fillId="4" borderId="0" xfId="0" applyFont="1" applyFill="1" applyAlignment="1">
      <alignment horizontal="left" indent="1"/>
    </xf>
    <xf numFmtId="165" fontId="46" fillId="4" borderId="0" xfId="0" applyNumberFormat="1" applyFont="1" applyFill="1"/>
    <xf numFmtId="0" fontId="27" fillId="4" borderId="0" xfId="0" applyFont="1" applyFill="1"/>
    <xf numFmtId="0" fontId="27" fillId="4" borderId="6" xfId="0" applyFont="1" applyFill="1" applyBorder="1"/>
    <xf numFmtId="176" fontId="19" fillId="4" borderId="23" xfId="3" applyFont="1" applyFill="1" applyBorder="1"/>
    <xf numFmtId="37" fontId="19" fillId="4" borderId="6" xfId="1" applyFont="1" applyFill="1" applyBorder="1"/>
    <xf numFmtId="0" fontId="36" fillId="6" borderId="14" xfId="0" applyFont="1" applyFill="1" applyBorder="1"/>
    <xf numFmtId="0" fontId="27" fillId="6" borderId="14" xfId="0" applyFont="1" applyFill="1" applyBorder="1" applyAlignment="1">
      <alignment horizontal="left" indent="1"/>
    </xf>
    <xf numFmtId="176" fontId="27" fillId="6" borderId="14" xfId="3" applyFont="1" applyFill="1" applyBorder="1"/>
    <xf numFmtId="0" fontId="13" fillId="6" borderId="14" xfId="0" applyFont="1" applyFill="1" applyBorder="1"/>
    <xf numFmtId="0" fontId="21" fillId="6" borderId="14" xfId="0" applyFont="1" applyFill="1" applyBorder="1"/>
    <xf numFmtId="0" fontId="32" fillId="6" borderId="14" xfId="0" applyFont="1" applyFill="1" applyBorder="1"/>
    <xf numFmtId="176" fontId="19" fillId="6" borderId="14" xfId="3" applyFont="1" applyFill="1" applyBorder="1"/>
    <xf numFmtId="165" fontId="27" fillId="6" borderId="14" xfId="0" applyNumberFormat="1" applyFont="1" applyFill="1" applyBorder="1"/>
    <xf numFmtId="178" fontId="27" fillId="6" borderId="14" xfId="0" applyNumberFormat="1" applyFont="1" applyFill="1" applyBorder="1"/>
    <xf numFmtId="176" fontId="27" fillId="6" borderId="14" xfId="0" applyNumberFormat="1" applyFont="1" applyFill="1" applyBorder="1"/>
    <xf numFmtId="170" fontId="27" fillId="6" borderId="14" xfId="0" applyNumberFormat="1" applyFont="1" applyFill="1" applyBorder="1"/>
    <xf numFmtId="0" fontId="27" fillId="6" borderId="32" xfId="0" applyFont="1" applyFill="1" applyBorder="1"/>
    <xf numFmtId="176" fontId="19" fillId="6" borderId="32" xfId="3" applyFont="1" applyFill="1" applyBorder="1"/>
    <xf numFmtId="39" fontId="19" fillId="6" borderId="14" xfId="1" applyNumberFormat="1" applyFont="1" applyFill="1" applyBorder="1"/>
    <xf numFmtId="37" fontId="19" fillId="6" borderId="32" xfId="1" applyFont="1" applyFill="1" applyBorder="1"/>
    <xf numFmtId="174" fontId="27" fillId="4" borderId="0" xfId="0" applyNumberFormat="1" applyFont="1" applyFill="1"/>
    <xf numFmtId="168" fontId="27" fillId="12" borderId="0" xfId="0" applyNumberFormat="1" applyFont="1" applyFill="1" applyAlignment="1">
      <alignment horizontal="center"/>
    </xf>
    <xf numFmtId="169" fontId="12" fillId="6" borderId="6" xfId="2" applyNumberFormat="1" applyFont="1" applyFill="1" applyBorder="1"/>
    <xf numFmtId="0" fontId="36" fillId="6" borderId="21" xfId="0" applyFont="1" applyFill="1" applyBorder="1" applyAlignment="1">
      <alignment horizontal="center" vertical="center"/>
    </xf>
    <xf numFmtId="0" fontId="12" fillId="6" borderId="21" xfId="0" applyFont="1" applyFill="1" applyBorder="1"/>
    <xf numFmtId="0" fontId="32" fillId="6" borderId="22" xfId="0" applyFont="1" applyFill="1" applyBorder="1"/>
    <xf numFmtId="176" fontId="21" fillId="6" borderId="21" xfId="3" applyFont="1" applyFill="1" applyBorder="1"/>
    <xf numFmtId="184" fontId="27" fillId="4" borderId="11" xfId="0" applyNumberFormat="1" applyFont="1" applyFill="1" applyBorder="1"/>
    <xf numFmtId="184" fontId="27" fillId="4" borderId="10" xfId="0" applyNumberFormat="1" applyFont="1" applyFill="1" applyBorder="1"/>
    <xf numFmtId="0" fontId="47" fillId="4" borderId="11" xfId="0" applyFont="1" applyFill="1" applyBorder="1" applyAlignment="1">
      <alignment horizontal="left" indent="1"/>
    </xf>
    <xf numFmtId="184" fontId="44" fillId="4" borderId="11" xfId="0" applyNumberFormat="1" applyFont="1" applyFill="1" applyBorder="1"/>
    <xf numFmtId="176" fontId="47" fillId="4" borderId="11" xfId="0" applyNumberFormat="1" applyFont="1" applyFill="1" applyBorder="1"/>
    <xf numFmtId="0" fontId="36" fillId="4" borderId="14" xfId="0" applyFont="1" applyFill="1" applyBorder="1" applyAlignment="1">
      <alignment horizontal="center" vertical="center"/>
    </xf>
    <xf numFmtId="0" fontId="12" fillId="4" borderId="14" xfId="0" applyFont="1" applyFill="1" applyBorder="1"/>
    <xf numFmtId="0" fontId="32" fillId="4" borderId="25" xfId="0" applyFont="1" applyFill="1" applyBorder="1"/>
    <xf numFmtId="176" fontId="21" fillId="4" borderId="14" xfId="3" applyFont="1" applyFill="1" applyBorder="1"/>
    <xf numFmtId="0" fontId="27" fillId="4" borderId="7" xfId="0" applyFont="1" applyFill="1" applyBorder="1" applyAlignment="1">
      <alignment horizontal="center"/>
    </xf>
    <xf numFmtId="172" fontId="27" fillId="4" borderId="7" xfId="0" applyNumberFormat="1" applyFont="1" applyFill="1" applyBorder="1"/>
    <xf numFmtId="40" fontId="18" fillId="4" borderId="7" xfId="5" applyFont="1" applyFill="1" applyBorder="1"/>
    <xf numFmtId="176" fontId="27" fillId="4" borderId="7" xfId="3" applyFont="1" applyFill="1" applyBorder="1"/>
    <xf numFmtId="0" fontId="36" fillId="4" borderId="24" xfId="0" applyFont="1" applyFill="1" applyBorder="1" applyAlignment="1">
      <alignment horizontal="center"/>
    </xf>
    <xf numFmtId="0" fontId="27" fillId="4" borderId="33" xfId="0" applyFont="1" applyFill="1" applyBorder="1" applyAlignment="1">
      <alignment horizontal="center"/>
    </xf>
    <xf numFmtId="40" fontId="18" fillId="4" borderId="24" xfId="5" applyFont="1" applyFill="1" applyBorder="1"/>
    <xf numFmtId="174" fontId="18" fillId="4" borderId="24" xfId="2" applyFont="1" applyFill="1" applyBorder="1"/>
    <xf numFmtId="0" fontId="39" fillId="4" borderId="24" xfId="0" applyFont="1" applyFill="1" applyBorder="1" applyAlignment="1">
      <alignment horizontal="center"/>
    </xf>
    <xf numFmtId="170" fontId="27" fillId="4" borderId="24" xfId="0" applyNumberFormat="1" applyFont="1" applyFill="1" applyBorder="1" applyAlignment="1">
      <alignment horizontal="center"/>
    </xf>
    <xf numFmtId="170" fontId="27" fillId="4" borderId="33" xfId="0" applyNumberFormat="1" applyFont="1" applyFill="1" applyBorder="1" applyAlignment="1">
      <alignment horizontal="center"/>
    </xf>
    <xf numFmtId="2" fontId="27" fillId="4" borderId="7" xfId="0" applyNumberFormat="1" applyFont="1" applyFill="1" applyBorder="1"/>
    <xf numFmtId="0" fontId="27" fillId="4" borderId="7" xfId="0" applyFont="1" applyFill="1" applyBorder="1"/>
    <xf numFmtId="0" fontId="18" fillId="4" borderId="7" xfId="0" applyFont="1" applyFill="1" applyBorder="1"/>
    <xf numFmtId="37" fontId="27" fillId="0" borderId="7" xfId="1" applyFont="1" applyBorder="1"/>
    <xf numFmtId="2" fontId="27" fillId="4" borderId="7" xfId="0" applyNumberFormat="1" applyFont="1" applyFill="1" applyBorder="1" applyAlignment="1">
      <alignment horizontal="right" vertical="center"/>
    </xf>
    <xf numFmtId="177" fontId="27" fillId="4" borderId="7" xfId="0" applyNumberFormat="1" applyFont="1" applyFill="1" applyBorder="1" applyAlignment="1">
      <alignment horizontal="center"/>
    </xf>
    <xf numFmtId="2" fontId="27" fillId="4" borderId="7" xfId="0" applyNumberFormat="1" applyFont="1" applyFill="1" applyBorder="1" applyAlignment="1">
      <alignment horizontal="center"/>
    </xf>
    <xf numFmtId="174" fontId="18" fillId="0" borderId="7" xfId="2" applyFont="1" applyBorder="1"/>
    <xf numFmtId="0" fontId="12" fillId="6" borderId="11" xfId="0" applyFont="1" applyFill="1" applyBorder="1"/>
    <xf numFmtId="180" fontId="12" fillId="6" borderId="11" xfId="5" applyNumberFormat="1" applyFont="1" applyFill="1" applyBorder="1"/>
    <xf numFmtId="174" fontId="12" fillId="6" borderId="10" xfId="2" applyFont="1" applyFill="1" applyBorder="1"/>
    <xf numFmtId="176" fontId="18" fillId="6" borderId="11" xfId="0" applyNumberFormat="1" applyFont="1" applyFill="1" applyBorder="1"/>
    <xf numFmtId="0" fontId="29" fillId="4" borderId="0" xfId="0" applyFont="1" applyFill="1"/>
    <xf numFmtId="0" fontId="18" fillId="4" borderId="0" xfId="0" applyFont="1" applyFill="1" applyAlignment="1">
      <alignment horizontal="center"/>
    </xf>
    <xf numFmtId="0" fontId="26" fillId="4" borderId="0" xfId="0" applyFont="1" applyFill="1" applyAlignment="1">
      <alignment horizontal="right" wrapText="1"/>
    </xf>
    <xf numFmtId="182" fontId="18" fillId="4" borderId="0" xfId="0" applyNumberFormat="1" applyFont="1" applyFill="1"/>
    <xf numFmtId="0" fontId="21" fillId="6" borderId="14" xfId="0" applyFont="1" applyFill="1" applyBorder="1" applyAlignment="1">
      <alignment horizontal="center"/>
    </xf>
    <xf numFmtId="172" fontId="21" fillId="6" borderId="14" xfId="0" applyNumberFormat="1" applyFont="1" applyFill="1" applyBorder="1" applyAlignment="1">
      <alignment horizontal="center"/>
    </xf>
    <xf numFmtId="170" fontId="21" fillId="6" borderId="14" xfId="0" applyNumberFormat="1" applyFont="1" applyFill="1" applyBorder="1" applyAlignment="1">
      <alignment horizontal="center"/>
    </xf>
    <xf numFmtId="0" fontId="36" fillId="6" borderId="16" xfId="0" applyFont="1" applyFill="1" applyBorder="1" applyAlignment="1">
      <alignment horizontal="center"/>
    </xf>
    <xf numFmtId="0" fontId="21" fillId="6" borderId="34" xfId="0" applyFont="1" applyFill="1" applyBorder="1" applyAlignment="1">
      <alignment horizontal="center"/>
    </xf>
    <xf numFmtId="40" fontId="12" fillId="6" borderId="16" xfId="5" applyFont="1" applyFill="1" applyBorder="1"/>
    <xf numFmtId="174" fontId="12" fillId="6" borderId="16" xfId="2" applyFont="1" applyFill="1" applyBorder="1"/>
    <xf numFmtId="173" fontId="28" fillId="4" borderId="0" xfId="0" applyNumberFormat="1" applyFont="1" applyFill="1" applyAlignment="1">
      <alignment horizontal="justify" vertical="distributed"/>
    </xf>
    <xf numFmtId="173" fontId="28" fillId="12" borderId="0" xfId="0" applyNumberFormat="1" applyFont="1" applyFill="1" applyAlignment="1">
      <alignment horizontal="justify" vertical="distributed"/>
    </xf>
    <xf numFmtId="0" fontId="32" fillId="6" borderId="18" xfId="0" applyFont="1" applyFill="1" applyBorder="1" applyAlignment="1">
      <alignment horizontal="center"/>
    </xf>
    <xf numFmtId="170" fontId="32" fillId="6" borderId="17" xfId="0" applyNumberFormat="1" applyFont="1" applyFill="1" applyBorder="1" applyAlignment="1">
      <alignment horizontal="center"/>
    </xf>
    <xf numFmtId="170" fontId="32" fillId="6" borderId="18" xfId="0" applyNumberFormat="1" applyFont="1" applyFill="1" applyBorder="1" applyAlignment="1">
      <alignment horizontal="center"/>
    </xf>
    <xf numFmtId="174" fontId="13" fillId="6" borderId="0" xfId="2" applyFont="1" applyFill="1"/>
    <xf numFmtId="174" fontId="13" fillId="6" borderId="17" xfId="2" applyFont="1" applyFill="1" applyBorder="1"/>
    <xf numFmtId="2" fontId="32" fillId="6" borderId="0" xfId="0" applyNumberFormat="1" applyFont="1" applyFill="1"/>
    <xf numFmtId="0" fontId="28" fillId="12" borderId="0" xfId="0" applyFont="1" applyFill="1"/>
    <xf numFmtId="37" fontId="27" fillId="6" borderId="28" xfId="1" applyFont="1" applyFill="1" applyBorder="1"/>
    <xf numFmtId="2" fontId="21" fillId="6" borderId="14" xfId="0" applyNumberFormat="1" applyFont="1" applyFill="1" applyBorder="1" applyAlignment="1">
      <alignment horizontal="right" vertical="center"/>
    </xf>
    <xf numFmtId="185" fontId="12" fillId="6" borderId="14" xfId="0" applyNumberFormat="1" applyFont="1" applyFill="1" applyBorder="1" applyAlignment="1">
      <alignment horizontal="center"/>
    </xf>
    <xf numFmtId="185" fontId="18" fillId="4" borderId="0" xfId="0" applyNumberFormat="1" applyFont="1" applyFill="1" applyAlignment="1">
      <alignment horizontal="center"/>
    </xf>
    <xf numFmtId="185" fontId="18" fillId="12" borderId="0" xfId="0" applyNumberFormat="1" applyFont="1" applyFill="1" applyAlignment="1">
      <alignment horizontal="center"/>
    </xf>
    <xf numFmtId="0" fontId="21" fillId="6" borderId="0" xfId="0" applyFont="1" applyFill="1" applyAlignment="1">
      <alignment horizontal="center"/>
    </xf>
    <xf numFmtId="176" fontId="21" fillId="6" borderId="0" xfId="0" applyNumberFormat="1" applyFont="1" applyFill="1" applyAlignment="1">
      <alignment horizontal="center"/>
    </xf>
    <xf numFmtId="186" fontId="21" fillId="6" borderId="0" xfId="0" applyNumberFormat="1" applyFont="1" applyFill="1" applyAlignment="1">
      <alignment horizontal="center"/>
    </xf>
    <xf numFmtId="0" fontId="21" fillId="6" borderId="17" xfId="0" applyFont="1" applyFill="1" applyBorder="1" applyAlignment="1">
      <alignment horizontal="center"/>
    </xf>
    <xf numFmtId="0" fontId="31" fillId="4" borderId="0" xfId="0" applyFont="1" applyFill="1" applyAlignment="1">
      <alignment horizontal="center"/>
    </xf>
    <xf numFmtId="0" fontId="36" fillId="4" borderId="25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vertical="center"/>
    </xf>
    <xf numFmtId="0" fontId="32" fillId="4" borderId="25" xfId="0" applyFont="1" applyFill="1" applyBorder="1" applyAlignment="1">
      <alignment vertical="center"/>
    </xf>
    <xf numFmtId="0" fontId="32" fillId="4" borderId="14" xfId="0" applyFont="1" applyFill="1" applyBorder="1" applyAlignment="1">
      <alignment vertical="center"/>
    </xf>
    <xf numFmtId="176" fontId="21" fillId="4" borderId="25" xfId="0" applyNumberFormat="1" applyFont="1" applyFill="1" applyBorder="1" applyAlignment="1">
      <alignment vertical="center"/>
    </xf>
    <xf numFmtId="176" fontId="21" fillId="4" borderId="14" xfId="0" applyNumberFormat="1" applyFont="1" applyFill="1" applyBorder="1" applyAlignment="1">
      <alignment vertical="center"/>
    </xf>
    <xf numFmtId="176" fontId="27" fillId="4" borderId="0" xfId="0" applyNumberFormat="1" applyFont="1" applyFill="1" applyAlignment="1">
      <alignment vertical="center"/>
    </xf>
    <xf numFmtId="176" fontId="27" fillId="12" borderId="0" xfId="0" applyNumberFormat="1" applyFont="1" applyFill="1" applyAlignment="1">
      <alignment vertical="center"/>
    </xf>
    <xf numFmtId="0" fontId="39" fillId="4" borderId="25" xfId="0" applyFont="1" applyFill="1" applyBorder="1" applyAlignment="1">
      <alignment horizontal="center"/>
    </xf>
    <xf numFmtId="176" fontId="32" fillId="4" borderId="25" xfId="0" applyNumberFormat="1" applyFont="1" applyFill="1" applyBorder="1" applyAlignment="1">
      <alignment vertical="center"/>
    </xf>
    <xf numFmtId="0" fontId="32" fillId="4" borderId="14" xfId="0" applyFont="1" applyFill="1" applyBorder="1"/>
    <xf numFmtId="176" fontId="32" fillId="4" borderId="25" xfId="0" applyNumberFormat="1" applyFont="1" applyFill="1" applyBorder="1"/>
    <xf numFmtId="0" fontId="32" fillId="4" borderId="32" xfId="0" applyFont="1" applyFill="1" applyBorder="1"/>
    <xf numFmtId="176" fontId="32" fillId="4" borderId="14" xfId="0" applyNumberFormat="1" applyFont="1" applyFill="1" applyBorder="1"/>
    <xf numFmtId="0" fontId="26" fillId="12" borderId="0" xfId="0" applyFont="1" applyFill="1" applyAlignment="1">
      <alignment horizontal="right" vertical="center"/>
    </xf>
    <xf numFmtId="0" fontId="26" fillId="4" borderId="0" xfId="0" applyFont="1" applyFill="1" applyAlignment="1">
      <alignment horizontal="right" vertical="center"/>
    </xf>
    <xf numFmtId="0" fontId="12" fillId="4" borderId="14" xfId="0" applyFont="1" applyFill="1" applyBorder="1" applyAlignment="1">
      <alignment vertical="center"/>
    </xf>
    <xf numFmtId="10" fontId="12" fillId="4" borderId="25" xfId="0" applyNumberFormat="1" applyFont="1" applyFill="1" applyBorder="1" applyAlignment="1">
      <alignment vertical="center"/>
    </xf>
    <xf numFmtId="10" fontId="12" fillId="4" borderId="14" xfId="0" applyNumberFormat="1" applyFont="1" applyFill="1" applyBorder="1" applyAlignment="1">
      <alignment vertical="center"/>
    </xf>
    <xf numFmtId="0" fontId="36" fillId="14" borderId="35" xfId="0" applyFont="1" applyFill="1" applyBorder="1" applyAlignment="1">
      <alignment horizontal="center"/>
    </xf>
    <xf numFmtId="0" fontId="21" fillId="14" borderId="36" xfId="0" applyFont="1" applyFill="1" applyBorder="1" applyAlignment="1">
      <alignment horizontal="center"/>
    </xf>
    <xf numFmtId="2" fontId="21" fillId="14" borderId="36" xfId="0" applyNumberFormat="1" applyFont="1" applyFill="1" applyBorder="1" applyAlignment="1">
      <alignment horizontal="right" vertical="center"/>
    </xf>
    <xf numFmtId="171" fontId="32" fillId="14" borderId="13" xfId="0" applyNumberFormat="1" applyFont="1" applyFill="1" applyBorder="1"/>
    <xf numFmtId="174" fontId="12" fillId="14" borderId="35" xfId="2" applyFont="1" applyFill="1" applyBorder="1"/>
    <xf numFmtId="171" fontId="21" fillId="14" borderId="13" xfId="0" applyNumberFormat="1" applyFont="1" applyFill="1" applyBorder="1"/>
    <xf numFmtId="174" fontId="12" fillId="14" borderId="13" xfId="2" applyFont="1" applyFill="1" applyBorder="1"/>
    <xf numFmtId="0" fontId="21" fillId="14" borderId="37" xfId="0" applyFont="1" applyFill="1" applyBorder="1"/>
    <xf numFmtId="0" fontId="12" fillId="14" borderId="13" xfId="0" applyFont="1" applyFill="1" applyBorder="1"/>
    <xf numFmtId="171" fontId="21" fillId="14" borderId="37" xfId="0" applyNumberFormat="1" applyFont="1" applyFill="1" applyBorder="1"/>
    <xf numFmtId="176" fontId="26" fillId="12" borderId="0" xfId="0" applyNumberFormat="1" applyFont="1" applyFill="1"/>
    <xf numFmtId="173" fontId="41" fillId="4" borderId="0" xfId="0" applyNumberFormat="1" applyFont="1" applyFill="1" applyAlignment="1">
      <alignment vertical="top"/>
    </xf>
    <xf numFmtId="173" fontId="27" fillId="4" borderId="0" xfId="0" applyNumberFormat="1" applyFont="1" applyFill="1" applyAlignment="1">
      <alignment vertical="top" wrapText="1"/>
    </xf>
    <xf numFmtId="180" fontId="18" fillId="6" borderId="11" xfId="5" applyNumberFormat="1" applyFont="1" applyFill="1" applyBorder="1"/>
    <xf numFmtId="0" fontId="48" fillId="4" borderId="0" xfId="0" applyFont="1" applyFill="1"/>
    <xf numFmtId="0" fontId="28" fillId="12" borderId="0" xfId="0" applyFont="1" applyFill="1" applyAlignment="1">
      <alignment horizontal="right"/>
    </xf>
    <xf numFmtId="0" fontId="28" fillId="4" borderId="0" xfId="0" applyFont="1" applyFill="1" applyAlignment="1">
      <alignment horizontal="right"/>
    </xf>
    <xf numFmtId="0" fontId="36" fillId="4" borderId="25" xfId="0" applyFont="1" applyFill="1" applyBorder="1" applyAlignment="1">
      <alignment horizontal="center"/>
    </xf>
    <xf numFmtId="0" fontId="12" fillId="4" borderId="14" xfId="0" applyFont="1" applyFill="1" applyBorder="1" applyAlignment="1">
      <alignment horizontal="right" vertical="center"/>
    </xf>
    <xf numFmtId="0" fontId="12" fillId="4" borderId="25" xfId="0" applyFont="1" applyFill="1" applyBorder="1" applyAlignment="1">
      <alignment horizontal="right" vertical="center"/>
    </xf>
    <xf numFmtId="171" fontId="12" fillId="4" borderId="14" xfId="0" applyNumberFormat="1" applyFont="1" applyFill="1" applyBorder="1" applyAlignment="1">
      <alignment vertical="center"/>
    </xf>
    <xf numFmtId="10" fontId="26" fillId="4" borderId="0" xfId="0" applyNumberFormat="1" applyFont="1" applyFill="1"/>
    <xf numFmtId="10" fontId="21" fillId="4" borderId="0" xfId="0" applyNumberFormat="1" applyFont="1" applyFill="1"/>
    <xf numFmtId="174" fontId="21" fillId="4" borderId="0" xfId="0" applyNumberFormat="1" applyFont="1" applyFill="1"/>
    <xf numFmtId="180" fontId="12" fillId="4" borderId="0" xfId="5" applyNumberFormat="1" applyFont="1" applyFill="1"/>
    <xf numFmtId="174" fontId="21" fillId="4" borderId="6" xfId="0" applyNumberFormat="1" applyFont="1" applyFill="1" applyBorder="1"/>
    <xf numFmtId="174" fontId="28" fillId="4" borderId="0" xfId="0" applyNumberFormat="1" applyFont="1" applyFill="1" applyAlignment="1">
      <alignment horizontal="right"/>
    </xf>
    <xf numFmtId="174" fontId="21" fillId="6" borderId="0" xfId="0" applyNumberFormat="1" applyFont="1" applyFill="1"/>
    <xf numFmtId="174" fontId="21" fillId="6" borderId="6" xfId="0" applyNumberFormat="1" applyFont="1" applyFill="1" applyBorder="1"/>
    <xf numFmtId="0" fontId="40" fillId="4" borderId="0" xfId="0" applyFont="1" applyFill="1" applyAlignment="1">
      <alignment vertical="top" wrapText="1"/>
    </xf>
    <xf numFmtId="10" fontId="40" fillId="4" borderId="0" xfId="0" applyNumberFormat="1" applyFont="1" applyFill="1"/>
    <xf numFmtId="37" fontId="19" fillId="4" borderId="0" xfId="1" applyFont="1" applyFill="1"/>
    <xf numFmtId="0" fontId="43" fillId="4" borderId="11" xfId="0" applyFont="1" applyFill="1" applyBorder="1" applyAlignment="1">
      <alignment horizontal="center"/>
    </xf>
    <xf numFmtId="0" fontId="21" fillId="4" borderId="16" xfId="0" applyFont="1" applyFill="1" applyBorder="1" applyAlignment="1">
      <alignment horizontal="right" wrapText="1"/>
    </xf>
    <xf numFmtId="176" fontId="27" fillId="0" borderId="0" xfId="3" applyFont="1"/>
    <xf numFmtId="40" fontId="18" fillId="6" borderId="11" xfId="5" applyFont="1" applyFill="1" applyBorder="1"/>
    <xf numFmtId="167" fontId="27" fillId="4" borderId="0" xfId="0" applyNumberFormat="1" applyFont="1" applyFill="1"/>
    <xf numFmtId="174" fontId="18" fillId="6" borderId="21" xfId="2" applyFont="1" applyFill="1" applyBorder="1"/>
    <xf numFmtId="174" fontId="18" fillId="6" borderId="22" xfId="2" applyFont="1" applyFill="1" applyBorder="1"/>
    <xf numFmtId="0" fontId="40" fillId="12" borderId="0" xfId="0" applyFont="1" applyFill="1"/>
    <xf numFmtId="176" fontId="27" fillId="4" borderId="11" xfId="3" applyFont="1" applyFill="1" applyBorder="1"/>
    <xf numFmtId="176" fontId="27" fillId="4" borderId="10" xfId="3" applyFont="1" applyFill="1" applyBorder="1"/>
    <xf numFmtId="176" fontId="27" fillId="4" borderId="21" xfId="3" applyFont="1" applyFill="1" applyBorder="1"/>
    <xf numFmtId="182" fontId="18" fillId="12" borderId="0" xfId="0" applyNumberFormat="1" applyFont="1" applyFill="1"/>
    <xf numFmtId="0" fontId="25" fillId="12" borderId="0" xfId="0" applyFont="1" applyFill="1" applyAlignment="1">
      <alignment vertical="center" wrapText="1"/>
    </xf>
    <xf numFmtId="0" fontId="25" fillId="4" borderId="0" xfId="0" applyFont="1" applyFill="1" applyAlignment="1">
      <alignment vertical="center" wrapText="1"/>
    </xf>
    <xf numFmtId="0" fontId="25" fillId="9" borderId="21" xfId="0" applyFont="1" applyFill="1" applyBorder="1"/>
    <xf numFmtId="0" fontId="12" fillId="6" borderId="0" xfId="0" applyFont="1" applyFill="1" applyAlignment="1">
      <alignment horizontal="left" vertical="top" wrapText="1"/>
    </xf>
    <xf numFmtId="0" fontId="21" fillId="6" borderId="6" xfId="0" applyFont="1" applyFill="1" applyBorder="1" applyAlignment="1">
      <alignment horizontal="center" vertical="center" wrapText="1"/>
    </xf>
    <xf numFmtId="176" fontId="19" fillId="6" borderId="38" xfId="3" applyFont="1" applyFill="1" applyBorder="1" applyAlignment="1">
      <alignment vertical="center" wrapText="1"/>
    </xf>
    <xf numFmtId="0" fontId="43" fillId="4" borderId="7" xfId="0" applyFont="1" applyFill="1" applyBorder="1" applyAlignment="1">
      <alignment horizontal="center"/>
    </xf>
    <xf numFmtId="0" fontId="21" fillId="4" borderId="24" xfId="0" applyFont="1" applyFill="1" applyBorder="1" applyAlignment="1">
      <alignment horizontal="right" wrapText="1"/>
    </xf>
    <xf numFmtId="0" fontId="25" fillId="4" borderId="0" xfId="0" applyFont="1" applyFill="1" applyAlignment="1">
      <alignment horizontal="right"/>
    </xf>
    <xf numFmtId="0" fontId="12" fillId="4" borderId="14" xfId="0" applyFont="1" applyFill="1" applyBorder="1" applyAlignment="1">
      <alignment horizontal="left" vertical="top" wrapText="1"/>
    </xf>
    <xf numFmtId="0" fontId="21" fillId="4" borderId="32" xfId="0" applyFont="1" applyFill="1" applyBorder="1" applyAlignment="1">
      <alignment horizontal="center" vertical="center" wrapText="1"/>
    </xf>
    <xf numFmtId="175" fontId="21" fillId="4" borderId="14" xfId="0" applyNumberFormat="1" applyFont="1" applyFill="1" applyBorder="1" applyAlignment="1">
      <alignment vertical="center" wrapText="1"/>
    </xf>
    <xf numFmtId="176" fontId="19" fillId="4" borderId="14" xfId="3" applyFont="1" applyFill="1" applyBorder="1"/>
    <xf numFmtId="0" fontId="49" fillId="6" borderId="14" xfId="0" applyFont="1" applyFill="1" applyBorder="1"/>
    <xf numFmtId="0" fontId="26" fillId="12" borderId="0" xfId="0" applyFont="1" applyFill="1" applyAlignment="1">
      <alignment horizontal="right"/>
    </xf>
    <xf numFmtId="0" fontId="25" fillId="12" borderId="0" xfId="0" applyFont="1" applyFill="1" applyAlignment="1">
      <alignment horizontal="right"/>
    </xf>
    <xf numFmtId="0" fontId="50" fillId="4" borderId="0" xfId="0" applyFont="1" applyFill="1"/>
    <xf numFmtId="168" fontId="26" fillId="4" borderId="0" xfId="0" applyNumberFormat="1" applyFont="1" applyFill="1" applyAlignment="1">
      <alignment horizontal="right"/>
    </xf>
    <xf numFmtId="0" fontId="51" fillId="4" borderId="0" xfId="0" applyFont="1" applyFill="1"/>
    <xf numFmtId="165" fontId="27" fillId="12" borderId="0" xfId="0" applyNumberFormat="1" applyFont="1" applyFill="1"/>
    <xf numFmtId="172" fontId="51" fillId="4" borderId="0" xfId="0" applyNumberFormat="1" applyFont="1" applyFill="1"/>
    <xf numFmtId="171" fontId="51" fillId="4" borderId="0" xfId="0" applyNumberFormat="1" applyFont="1" applyFill="1"/>
    <xf numFmtId="176" fontId="51" fillId="4" borderId="0" xfId="0" applyNumberFormat="1" applyFont="1" applyFill="1"/>
    <xf numFmtId="174" fontId="18" fillId="4" borderId="0" xfId="0" applyNumberFormat="1" applyFont="1" applyFill="1"/>
    <xf numFmtId="10" fontId="18" fillId="4" borderId="0" xfId="3" applyNumberFormat="1" applyFont="1" applyFill="1"/>
    <xf numFmtId="10" fontId="18" fillId="4" borderId="0" xfId="0" applyNumberFormat="1" applyFont="1" applyFill="1"/>
    <xf numFmtId="187" fontId="19" fillId="0" borderId="0" xfId="1" applyNumberFormat="1" applyFont="1"/>
    <xf numFmtId="2" fontId="36" fillId="4" borderId="0" xfId="0" applyNumberFormat="1" applyFont="1" applyFill="1" applyAlignment="1">
      <alignment horizontal="center" vertical="center" wrapText="1"/>
    </xf>
    <xf numFmtId="176" fontId="27" fillId="0" borderId="7" xfId="3" applyFont="1" applyBorder="1"/>
    <xf numFmtId="0" fontId="11" fillId="15" borderId="1" xfId="0" applyFont="1" applyFill="1" applyBorder="1"/>
    <xf numFmtId="0" fontId="9" fillId="15" borderId="1" xfId="0" applyFont="1" applyFill="1" applyBorder="1" applyAlignment="1">
      <alignment horizontal="center" vertical="center" wrapText="1"/>
    </xf>
    <xf numFmtId="0" fontId="10" fillId="15" borderId="1" xfId="0" applyFont="1" applyFill="1" applyBorder="1"/>
    <xf numFmtId="172" fontId="9" fillId="15" borderId="1" xfId="0" applyNumberFormat="1" applyFont="1" applyFill="1" applyBorder="1" applyAlignment="1">
      <alignment horizontal="center" vertical="center" wrapText="1"/>
    </xf>
    <xf numFmtId="0" fontId="10" fillId="4" borderId="0" xfId="0" applyFont="1" applyFill="1"/>
    <xf numFmtId="0" fontId="12" fillId="12" borderId="0" xfId="0" applyFont="1" applyFill="1"/>
    <xf numFmtId="0" fontId="12" fillId="12" borderId="0" xfId="0" applyFont="1" applyFill="1" applyAlignment="1">
      <alignment horizontal="center"/>
    </xf>
    <xf numFmtId="0" fontId="13" fillId="12" borderId="0" xfId="0" applyFont="1" applyFill="1"/>
    <xf numFmtId="0" fontId="12" fillId="12" borderId="0" xfId="0" applyFont="1" applyFill="1" applyAlignment="1">
      <alignment horizontal="center" vertical="center" wrapText="1"/>
    </xf>
    <xf numFmtId="0" fontId="24" fillId="4" borderId="0" xfId="0" applyFont="1" applyFill="1" applyAlignment="1">
      <alignment horizontal="center" vertical="top" wrapText="1"/>
    </xf>
    <xf numFmtId="0" fontId="24" fillId="12" borderId="0" xfId="0" applyFont="1" applyFill="1" applyAlignment="1">
      <alignment horizontal="center" vertical="top" wrapText="1"/>
    </xf>
    <xf numFmtId="10" fontId="12" fillId="4" borderId="0" xfId="0" applyNumberFormat="1" applyFont="1" applyFill="1" applyAlignment="1">
      <alignment horizontal="center" vertical="center" wrapText="1"/>
    </xf>
    <xf numFmtId="0" fontId="12" fillId="12" borderId="0" xfId="0" applyFont="1" applyFill="1" applyAlignment="1">
      <alignment vertical="top" wrapText="1"/>
    </xf>
    <xf numFmtId="0" fontId="11" fillId="15" borderId="1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right" vertical="top"/>
    </xf>
    <xf numFmtId="0" fontId="10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/>
    </xf>
    <xf numFmtId="0" fontId="13" fillId="2" borderId="0" xfId="0" applyFont="1" applyFill="1" applyAlignment="1">
      <alignment vertical="top"/>
    </xf>
    <xf numFmtId="0" fontId="27" fillId="2" borderId="0" xfId="0" applyFont="1" applyFill="1"/>
    <xf numFmtId="0" fontId="36" fillId="5" borderId="0" xfId="0" applyFont="1" applyFill="1" applyAlignment="1">
      <alignment horizontal="center"/>
    </xf>
    <xf numFmtId="0" fontId="36" fillId="2" borderId="0" xfId="0" applyFont="1" applyFill="1" applyAlignment="1">
      <alignment horizontal="center"/>
    </xf>
    <xf numFmtId="0" fontId="36" fillId="2" borderId="7" xfId="0" applyFont="1" applyFill="1" applyBorder="1" applyAlignment="1">
      <alignment horizontal="center"/>
    </xf>
    <xf numFmtId="0" fontId="52" fillId="2" borderId="0" xfId="0" applyFont="1" applyFill="1"/>
    <xf numFmtId="0" fontId="36" fillId="5" borderId="8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 vertical="center" wrapText="1"/>
    </xf>
    <xf numFmtId="0" fontId="9" fillId="15" borderId="3" xfId="0" applyFont="1" applyFill="1" applyBorder="1" applyAlignment="1">
      <alignment horizontal="center" vertical="center" wrapText="1"/>
    </xf>
    <xf numFmtId="0" fontId="5" fillId="15" borderId="1" xfId="0" applyFont="1" applyFill="1" applyBorder="1"/>
    <xf numFmtId="0" fontId="9" fillId="15" borderId="5" xfId="0" applyFont="1" applyFill="1" applyBorder="1" applyAlignment="1">
      <alignment horizontal="center" vertical="center" wrapText="1"/>
    </xf>
    <xf numFmtId="0" fontId="11" fillId="15" borderId="4" xfId="0" applyFont="1" applyFill="1" applyBorder="1"/>
    <xf numFmtId="2" fontId="9" fillId="15" borderId="1" xfId="0" applyNumberFormat="1" applyFont="1" applyFill="1" applyBorder="1" applyAlignment="1">
      <alignment horizontal="center" vertical="center" wrapText="1"/>
    </xf>
    <xf numFmtId="2" fontId="9" fillId="15" borderId="0" xfId="0" applyNumberFormat="1" applyFont="1" applyFill="1" applyAlignment="1">
      <alignment horizontal="center" vertical="center" wrapText="1"/>
    </xf>
    <xf numFmtId="0" fontId="33" fillId="10" borderId="11" xfId="0" applyFont="1" applyFill="1" applyBorder="1"/>
    <xf numFmtId="0" fontId="36" fillId="14" borderId="0" xfId="0" applyFont="1" applyFill="1" applyAlignment="1">
      <alignment horizontal="center" vertical="top"/>
    </xf>
    <xf numFmtId="0" fontId="19" fillId="14" borderId="0" xfId="0" applyFont="1" applyFill="1" applyAlignment="1">
      <alignment horizontal="center" vertical="center" wrapText="1"/>
    </xf>
    <xf numFmtId="0" fontId="27" fillId="14" borderId="0" xfId="0" applyFont="1" applyFill="1"/>
    <xf numFmtId="176" fontId="27" fillId="14" borderId="0" xfId="3" applyFont="1" applyFill="1"/>
    <xf numFmtId="0" fontId="36" fillId="4" borderId="0" xfId="0" applyFont="1" applyFill="1" applyAlignment="1">
      <alignment horizontal="center" vertical="top"/>
    </xf>
    <xf numFmtId="0" fontId="19" fillId="4" borderId="0" xfId="0" applyFont="1" applyFill="1" applyAlignment="1">
      <alignment horizontal="center" vertical="center" wrapText="1"/>
    </xf>
    <xf numFmtId="0" fontId="36" fillId="4" borderId="7" xfId="0" applyFont="1" applyFill="1" applyBorder="1" applyAlignment="1">
      <alignment horizontal="center" vertical="top"/>
    </xf>
    <xf numFmtId="0" fontId="19" fillId="4" borderId="7" xfId="0" applyFont="1" applyFill="1" applyBorder="1" applyAlignment="1">
      <alignment horizontal="center" vertical="center" wrapText="1"/>
    </xf>
    <xf numFmtId="0" fontId="36" fillId="14" borderId="14" xfId="0" applyFont="1" applyFill="1" applyBorder="1" applyAlignment="1">
      <alignment horizontal="center" vertical="top"/>
    </xf>
    <xf numFmtId="0" fontId="31" fillId="14" borderId="14" xfId="0" applyFont="1" applyFill="1" applyBorder="1" applyAlignment="1">
      <alignment horizontal="center" vertical="center"/>
    </xf>
    <xf numFmtId="0" fontId="21" fillId="14" borderId="14" xfId="0" applyFont="1" applyFill="1" applyBorder="1" applyAlignment="1">
      <alignment horizontal="left" vertical="center" wrapText="1"/>
    </xf>
    <xf numFmtId="174" fontId="18" fillId="14" borderId="14" xfId="2" applyFont="1" applyFill="1" applyBorder="1"/>
    <xf numFmtId="176" fontId="27" fillId="14" borderId="14" xfId="3" applyFont="1" applyFill="1" applyBorder="1"/>
    <xf numFmtId="0" fontId="32" fillId="4" borderId="0" xfId="0" applyFont="1" applyFill="1" applyAlignment="1">
      <alignment vertical="top"/>
    </xf>
    <xf numFmtId="0" fontId="27" fillId="4" borderId="0" xfId="0" applyFont="1" applyFill="1" applyAlignment="1">
      <alignment vertical="top"/>
    </xf>
    <xf numFmtId="0" fontId="27" fillId="4" borderId="0" xfId="0" applyFont="1" applyFill="1" applyAlignment="1">
      <alignment horizontal="center" vertical="top"/>
    </xf>
    <xf numFmtId="0" fontId="27" fillId="14" borderId="0" xfId="0" applyFont="1" applyFill="1" applyAlignment="1">
      <alignment horizontal="center" vertical="center"/>
    </xf>
    <xf numFmtId="172" fontId="27" fillId="14" borderId="0" xfId="0" applyNumberFormat="1" applyFont="1" applyFill="1"/>
    <xf numFmtId="2" fontId="27" fillId="14" borderId="0" xfId="0" applyNumberFormat="1" applyFont="1" applyFill="1"/>
    <xf numFmtId="0" fontId="36" fillId="4" borderId="14" xfId="0" applyFont="1" applyFill="1" applyBorder="1" applyAlignment="1">
      <alignment horizontal="center" vertical="top"/>
    </xf>
    <xf numFmtId="0" fontId="27" fillId="4" borderId="14" xfId="0" applyFont="1" applyFill="1" applyBorder="1" applyAlignment="1">
      <alignment horizontal="center" vertical="center"/>
    </xf>
    <xf numFmtId="172" fontId="27" fillId="4" borderId="14" xfId="0" applyNumberFormat="1" applyFont="1" applyFill="1" applyBorder="1"/>
    <xf numFmtId="2" fontId="27" fillId="4" borderId="14" xfId="0" applyNumberFormat="1" applyFont="1" applyFill="1" applyBorder="1"/>
    <xf numFmtId="172" fontId="18" fillId="14" borderId="0" xfId="0" applyNumberFormat="1" applyFont="1" applyFill="1"/>
    <xf numFmtId="172" fontId="18" fillId="4" borderId="7" xfId="0" applyNumberFormat="1" applyFont="1" applyFill="1" applyBorder="1"/>
    <xf numFmtId="172" fontId="12" fillId="14" borderId="14" xfId="0" applyNumberFormat="1" applyFont="1" applyFill="1" applyBorder="1" applyAlignment="1">
      <alignment vertical="center"/>
    </xf>
    <xf numFmtId="0" fontId="36" fillId="14" borderId="0" xfId="0" applyFont="1" applyFill="1" applyAlignment="1">
      <alignment horizontal="center"/>
    </xf>
    <xf numFmtId="0" fontId="19" fillId="14" borderId="0" xfId="0" applyFont="1" applyFill="1" applyAlignment="1">
      <alignment horizontal="center" vertical="center"/>
    </xf>
    <xf numFmtId="0" fontId="27" fillId="14" borderId="0" xfId="0" applyFont="1" applyFill="1" applyAlignment="1">
      <alignment horizontal="center"/>
    </xf>
    <xf numFmtId="0" fontId="19" fillId="4" borderId="0" xfId="0" applyFont="1" applyFill="1" applyAlignment="1">
      <alignment horizontal="center" vertical="center"/>
    </xf>
    <xf numFmtId="0" fontId="19" fillId="4" borderId="7" xfId="0" applyFont="1" applyFill="1" applyBorder="1" applyAlignment="1">
      <alignment horizontal="center" vertical="center"/>
    </xf>
    <xf numFmtId="0" fontId="32" fillId="14" borderId="14" xfId="0" applyFont="1" applyFill="1" applyBorder="1"/>
    <xf numFmtId="0" fontId="21" fillId="14" borderId="14" xfId="0" applyFont="1" applyFill="1" applyBorder="1"/>
    <xf numFmtId="0" fontId="28" fillId="14" borderId="14" xfId="0" applyFont="1" applyFill="1" applyBorder="1"/>
    <xf numFmtId="0" fontId="27" fillId="14" borderId="0" xfId="0" applyFont="1" applyFill="1" applyAlignment="1">
      <alignment horizontal="left" wrapText="1"/>
    </xf>
    <xf numFmtId="176" fontId="27" fillId="14" borderId="0" xfId="3" applyFont="1" applyFill="1" applyAlignment="1">
      <alignment horizontal="center"/>
    </xf>
    <xf numFmtId="40" fontId="18" fillId="14" borderId="0" xfId="5" applyFont="1" applyFill="1" applyAlignment="1">
      <alignment horizontal="center"/>
    </xf>
    <xf numFmtId="0" fontId="18" fillId="4" borderId="0" xfId="0" applyFont="1" applyFill="1" applyAlignment="1">
      <alignment horizontal="left" wrapText="1"/>
    </xf>
    <xf numFmtId="176" fontId="27" fillId="4" borderId="0" xfId="3" applyFont="1" applyFill="1" applyAlignment="1">
      <alignment horizontal="center"/>
    </xf>
    <xf numFmtId="40" fontId="18" fillId="4" borderId="0" xfId="5" applyFont="1" applyFill="1" applyAlignment="1">
      <alignment horizontal="center"/>
    </xf>
    <xf numFmtId="0" fontId="27" fillId="4" borderId="0" xfId="0" applyFont="1" applyFill="1" applyAlignment="1">
      <alignment horizontal="left" wrapText="1"/>
    </xf>
    <xf numFmtId="0" fontId="36" fillId="4" borderId="13" xfId="0" applyFont="1" applyFill="1" applyBorder="1" applyAlignment="1">
      <alignment horizontal="center"/>
    </xf>
    <xf numFmtId="0" fontId="18" fillId="4" borderId="13" xfId="0" applyFont="1" applyFill="1" applyBorder="1" applyAlignment="1">
      <alignment horizontal="left" wrapText="1"/>
    </xf>
    <xf numFmtId="176" fontId="27" fillId="4" borderId="13" xfId="3" applyFont="1" applyFill="1" applyBorder="1" applyAlignment="1">
      <alignment horizontal="center"/>
    </xf>
    <xf numFmtId="180" fontId="18" fillId="4" borderId="13" xfId="5" applyNumberFormat="1" applyFont="1" applyFill="1" applyBorder="1" applyAlignment="1">
      <alignment horizontal="center"/>
    </xf>
    <xf numFmtId="2" fontId="36" fillId="0" borderId="0" xfId="0" applyNumberFormat="1" applyFont="1" applyAlignment="1">
      <alignment horizontal="center" vertical="center" wrapText="1"/>
    </xf>
    <xf numFmtId="0" fontId="19" fillId="14" borderId="0" xfId="0" applyFont="1" applyFill="1" applyAlignment="1">
      <alignment vertical="top" wrapText="1"/>
    </xf>
    <xf numFmtId="0" fontId="19" fillId="4" borderId="0" xfId="0" applyFont="1" applyFill="1" applyAlignment="1">
      <alignment vertical="top" wrapText="1"/>
    </xf>
    <xf numFmtId="3" fontId="18" fillId="4" borderId="0" xfId="0" applyNumberFormat="1" applyFont="1" applyFill="1" applyAlignment="1">
      <alignment vertical="top"/>
    </xf>
    <xf numFmtId="0" fontId="21" fillId="14" borderId="0" xfId="0" applyFont="1" applyFill="1" applyAlignment="1">
      <alignment vertical="top" wrapText="1"/>
    </xf>
    <xf numFmtId="194" fontId="27" fillId="14" borderId="0" xfId="0" applyNumberFormat="1" applyFont="1" applyFill="1" applyAlignment="1">
      <alignment vertical="top"/>
    </xf>
    <xf numFmtId="0" fontId="21" fillId="4" borderId="14" xfId="0" applyFont="1" applyFill="1" applyBorder="1" applyAlignment="1">
      <alignment vertical="top" wrapText="1"/>
    </xf>
    <xf numFmtId="0" fontId="36" fillId="4" borderId="0" xfId="0" quotePrefix="1" applyFont="1" applyFill="1" applyAlignment="1">
      <alignment horizontal="center" vertical="center" wrapText="1"/>
    </xf>
    <xf numFmtId="0" fontId="19" fillId="14" borderId="0" xfId="0" applyFont="1" applyFill="1" applyAlignment="1">
      <alignment horizontal="center" vertical="top" wrapText="1"/>
    </xf>
    <xf numFmtId="172" fontId="27" fillId="14" borderId="0" xfId="0" applyNumberFormat="1" applyFont="1" applyFill="1" applyAlignment="1">
      <alignment vertical="top"/>
    </xf>
    <xf numFmtId="175" fontId="27" fillId="14" borderId="0" xfId="0" applyNumberFormat="1" applyFont="1" applyFill="1" applyAlignment="1">
      <alignment vertical="top"/>
    </xf>
    <xf numFmtId="188" fontId="27" fillId="14" borderId="0" xfId="0" applyNumberFormat="1" applyFont="1" applyFill="1"/>
    <xf numFmtId="0" fontId="19" fillId="4" borderId="0" xfId="0" applyFont="1" applyFill="1" applyAlignment="1">
      <alignment horizontal="center" vertical="top" wrapText="1"/>
    </xf>
    <xf numFmtId="172" fontId="27" fillId="4" borderId="0" xfId="0" applyNumberFormat="1" applyFont="1" applyFill="1" applyAlignment="1">
      <alignment vertical="top"/>
    </xf>
    <xf numFmtId="175" fontId="27" fillId="4" borderId="0" xfId="0" applyNumberFormat="1" applyFont="1" applyFill="1" applyAlignment="1">
      <alignment vertical="top"/>
    </xf>
    <xf numFmtId="188" fontId="27" fillId="4" borderId="0" xfId="0" applyNumberFormat="1" applyFont="1" applyFill="1"/>
    <xf numFmtId="0" fontId="19" fillId="4" borderId="7" xfId="0" applyFont="1" applyFill="1" applyBorder="1" applyAlignment="1">
      <alignment horizontal="center" vertical="top" wrapText="1"/>
    </xf>
    <xf numFmtId="172" fontId="27" fillId="4" borderId="7" xfId="0" applyNumberFormat="1" applyFont="1" applyFill="1" applyBorder="1" applyAlignment="1">
      <alignment vertical="top"/>
    </xf>
    <xf numFmtId="175" fontId="27" fillId="4" borderId="7" xfId="0" applyNumberFormat="1" applyFont="1" applyFill="1" applyBorder="1" applyAlignment="1">
      <alignment vertical="top"/>
    </xf>
    <xf numFmtId="188" fontId="27" fillId="4" borderId="7" xfId="0" applyNumberFormat="1" applyFont="1" applyFill="1" applyBorder="1"/>
    <xf numFmtId="0" fontId="38" fillId="14" borderId="14" xfId="0" applyFont="1" applyFill="1" applyBorder="1" applyAlignment="1">
      <alignment horizontal="center" vertical="top"/>
    </xf>
    <xf numFmtId="0" fontId="21" fillId="14" borderId="14" xfId="0" applyFont="1" applyFill="1" applyBorder="1" applyAlignment="1">
      <alignment horizontal="left" vertical="top" wrapText="1"/>
    </xf>
    <xf numFmtId="170" fontId="12" fillId="14" borderId="14" xfId="0" applyNumberFormat="1" applyFont="1" applyFill="1" applyBorder="1" applyAlignment="1">
      <alignment vertical="center"/>
    </xf>
    <xf numFmtId="188" fontId="12" fillId="14" borderId="14" xfId="0" applyNumberFormat="1" applyFont="1" applyFill="1" applyBorder="1"/>
    <xf numFmtId="174" fontId="12" fillId="14" borderId="28" xfId="2" applyFont="1" applyFill="1" applyBorder="1"/>
    <xf numFmtId="0" fontId="31" fillId="4" borderId="0" xfId="0" applyFont="1" applyFill="1" applyAlignment="1">
      <alignment horizontal="center" vertical="top"/>
    </xf>
    <xf numFmtId="170" fontId="27" fillId="4" borderId="0" xfId="0" applyNumberFormat="1" applyFont="1" applyFill="1" applyAlignment="1">
      <alignment vertical="top"/>
    </xf>
    <xf numFmtId="0" fontId="27" fillId="16" borderId="0" xfId="0" applyFont="1" applyFill="1" applyAlignment="1">
      <alignment vertical="top"/>
    </xf>
    <xf numFmtId="0" fontId="27" fillId="16" borderId="0" xfId="0" applyFont="1" applyFill="1"/>
    <xf numFmtId="174" fontId="27" fillId="4" borderId="7" xfId="0" applyNumberFormat="1" applyFont="1" applyFill="1" applyBorder="1"/>
    <xf numFmtId="0" fontId="36" fillId="14" borderId="28" xfId="0" applyFont="1" applyFill="1" applyBorder="1" applyAlignment="1">
      <alignment horizontal="center"/>
    </xf>
    <xf numFmtId="0" fontId="12" fillId="14" borderId="14" xfId="0" applyFont="1" applyFill="1" applyBorder="1"/>
    <xf numFmtId="174" fontId="27" fillId="14" borderId="0" xfId="0" applyNumberFormat="1" applyFont="1" applyFill="1"/>
    <xf numFmtId="40" fontId="18" fillId="14" borderId="0" xfId="5" applyFont="1" applyFill="1"/>
    <xf numFmtId="174" fontId="27" fillId="0" borderId="0" xfId="0" applyNumberFormat="1" applyFont="1"/>
    <xf numFmtId="40" fontId="18" fillId="0" borderId="0" xfId="5" applyFont="1"/>
    <xf numFmtId="174" fontId="27" fillId="0" borderId="7" xfId="0" applyNumberFormat="1" applyFont="1" applyBorder="1"/>
    <xf numFmtId="40" fontId="18" fillId="0" borderId="7" xfId="5" applyFont="1" applyBorder="1"/>
    <xf numFmtId="0" fontId="36" fillId="14" borderId="14" xfId="0" applyFont="1" applyFill="1" applyBorder="1" applyAlignment="1">
      <alignment horizontal="center"/>
    </xf>
    <xf numFmtId="0" fontId="53" fillId="14" borderId="14" xfId="0" applyFont="1" applyFill="1" applyBorder="1" applyAlignment="1">
      <alignment horizontal="center"/>
    </xf>
    <xf numFmtId="0" fontId="21" fillId="14" borderId="14" xfId="0" applyFont="1" applyFill="1" applyBorder="1" applyAlignment="1">
      <alignment horizontal="left" wrapText="1"/>
    </xf>
    <xf numFmtId="176" fontId="21" fillId="14" borderId="14" xfId="0" applyNumberFormat="1" applyFont="1" applyFill="1" applyBorder="1" applyAlignment="1">
      <alignment horizontal="left" wrapText="1"/>
    </xf>
    <xf numFmtId="174" fontId="12" fillId="14" borderId="14" xfId="2" applyFont="1" applyFill="1" applyBorder="1"/>
    <xf numFmtId="176" fontId="21" fillId="14" borderId="14" xfId="0" applyNumberFormat="1" applyFont="1" applyFill="1" applyBorder="1" applyAlignment="1">
      <alignment horizontal="right" wrapText="1"/>
    </xf>
    <xf numFmtId="174" fontId="21" fillId="14" borderId="28" xfId="0" applyNumberFormat="1" applyFont="1" applyFill="1" applyBorder="1"/>
    <xf numFmtId="40" fontId="12" fillId="14" borderId="14" xfId="5" applyFont="1" applyFill="1" applyBorder="1"/>
    <xf numFmtId="174" fontId="18" fillId="14" borderId="0" xfId="2" applyFont="1" applyFill="1" applyAlignment="1">
      <alignment horizontal="center"/>
    </xf>
    <xf numFmtId="176" fontId="27" fillId="0" borderId="0" xfId="3" applyFont="1" applyAlignment="1">
      <alignment horizontal="center"/>
    </xf>
    <xf numFmtId="174" fontId="18" fillId="0" borderId="0" xfId="2" applyFont="1" applyAlignment="1">
      <alignment horizontal="center"/>
    </xf>
    <xf numFmtId="40" fontId="18" fillId="0" borderId="0" xfId="5" applyFont="1" applyAlignment="1">
      <alignment horizontal="center"/>
    </xf>
    <xf numFmtId="0" fontId="27" fillId="14" borderId="7" xfId="0" applyFont="1" applyFill="1" applyBorder="1"/>
    <xf numFmtId="176" fontId="27" fillId="14" borderId="7" xfId="3" applyFont="1" applyFill="1" applyBorder="1" applyAlignment="1">
      <alignment horizontal="center"/>
    </xf>
    <xf numFmtId="174" fontId="18" fillId="14" borderId="7" xfId="2" applyFont="1" applyFill="1" applyBorder="1" applyAlignment="1">
      <alignment horizontal="center"/>
    </xf>
    <xf numFmtId="40" fontId="18" fillId="14" borderId="7" xfId="5" applyFont="1" applyFill="1" applyBorder="1" applyAlignment="1">
      <alignment horizontal="center"/>
    </xf>
    <xf numFmtId="0" fontId="27" fillId="4" borderId="7" xfId="0" applyFont="1" applyFill="1" applyBorder="1" applyAlignment="1">
      <alignment horizontal="center" vertical="center"/>
    </xf>
    <xf numFmtId="176" fontId="21" fillId="14" borderId="14" xfId="3" applyFont="1" applyFill="1" applyBorder="1"/>
    <xf numFmtId="0" fontId="27" fillId="14" borderId="0" xfId="0" applyFont="1" applyFill="1" applyAlignment="1">
      <alignment horizontal="left"/>
    </xf>
    <xf numFmtId="176" fontId="27" fillId="14" borderId="17" xfId="3" applyFont="1" applyFill="1" applyBorder="1"/>
    <xf numFmtId="176" fontId="27" fillId="4" borderId="17" xfId="3" applyFont="1" applyFill="1" applyBorder="1"/>
    <xf numFmtId="0" fontId="27" fillId="14" borderId="7" xfId="0" applyFont="1" applyFill="1" applyBorder="1" applyAlignment="1">
      <alignment horizontal="left"/>
    </xf>
    <xf numFmtId="176" fontId="27" fillId="14" borderId="7" xfId="3" applyFont="1" applyFill="1" applyBorder="1"/>
    <xf numFmtId="176" fontId="27" fillId="14" borderId="24" xfId="3" applyFont="1" applyFill="1" applyBorder="1"/>
    <xf numFmtId="174" fontId="18" fillId="14" borderId="7" xfId="2" applyFont="1" applyFill="1" applyBorder="1"/>
    <xf numFmtId="0" fontId="21" fillId="4" borderId="14" xfId="0" applyFont="1" applyFill="1" applyBorder="1"/>
    <xf numFmtId="0" fontId="12" fillId="4" borderId="25" xfId="0" applyFont="1" applyFill="1" applyBorder="1" applyAlignment="1">
      <alignment vertical="center"/>
    </xf>
    <xf numFmtId="0" fontId="27" fillId="14" borderId="0" xfId="0" applyFont="1" applyFill="1" applyAlignment="1">
      <alignment horizontal="center" vertical="top"/>
    </xf>
    <xf numFmtId="0" fontId="27" fillId="4" borderId="7" xfId="0" applyFont="1" applyFill="1" applyBorder="1" applyAlignment="1">
      <alignment horizontal="center" vertical="top"/>
    </xf>
    <xf numFmtId="0" fontId="36" fillId="14" borderId="7" xfId="0" applyFont="1" applyFill="1" applyBorder="1" applyAlignment="1">
      <alignment horizontal="center"/>
    </xf>
    <xf numFmtId="0" fontId="36" fillId="0" borderId="14" xfId="0" applyFont="1" applyBorder="1" applyAlignment="1">
      <alignment horizontal="center"/>
    </xf>
    <xf numFmtId="0" fontId="18" fillId="2" borderId="0" xfId="0" applyFont="1" applyFill="1"/>
    <xf numFmtId="0" fontId="27" fillId="2" borderId="0" xfId="0" applyFont="1" applyFill="1" applyAlignment="1">
      <alignment vertical="top"/>
    </xf>
    <xf numFmtId="0" fontId="27" fillId="8" borderId="0" xfId="0" applyFont="1" applyFill="1"/>
    <xf numFmtId="0" fontId="27" fillId="8" borderId="0" xfId="0" applyFont="1" applyFill="1" applyAlignment="1">
      <alignment horizontal="center" vertical="top"/>
    </xf>
    <xf numFmtId="168" fontId="27" fillId="2" borderId="0" xfId="0" applyNumberFormat="1" applyFont="1" applyFill="1" applyAlignment="1">
      <alignment vertical="top"/>
    </xf>
    <xf numFmtId="0" fontId="27" fillId="8" borderId="0" xfId="0" applyFont="1" applyFill="1" applyAlignment="1">
      <alignment vertical="top"/>
    </xf>
    <xf numFmtId="168" fontId="27" fillId="8" borderId="0" xfId="0" applyNumberFormat="1" applyFont="1" applyFill="1" applyAlignment="1">
      <alignment horizontal="center" vertical="top"/>
    </xf>
    <xf numFmtId="0" fontId="27" fillId="4" borderId="7" xfId="0" applyFont="1" applyFill="1" applyBorder="1" applyAlignment="1">
      <alignment horizontal="left" wrapText="1"/>
    </xf>
    <xf numFmtId="180" fontId="18" fillId="14" borderId="0" xfId="5" applyNumberFormat="1" applyFont="1" applyFill="1"/>
    <xf numFmtId="180" fontId="18" fillId="4" borderId="7" xfId="5" applyNumberFormat="1" applyFont="1" applyFill="1" applyBorder="1"/>
    <xf numFmtId="180" fontId="12" fillId="14" borderId="14" xfId="5" applyNumberFormat="1" applyFont="1" applyFill="1" applyBorder="1"/>
    <xf numFmtId="0" fontId="21" fillId="14" borderId="14" xfId="0" applyFont="1" applyFill="1" applyBorder="1" applyAlignment="1">
      <alignment horizontal="right" vertical="center" wrapText="1"/>
    </xf>
    <xf numFmtId="0" fontId="27" fillId="8" borderId="0" xfId="0" applyFont="1" applyFill="1" applyAlignment="1">
      <alignment horizontal="center"/>
    </xf>
    <xf numFmtId="188" fontId="18" fillId="14" borderId="0" xfId="2" applyNumberFormat="1" applyFont="1" applyFill="1"/>
    <xf numFmtId="188" fontId="18" fillId="4" borderId="0" xfId="2" applyNumberFormat="1" applyFont="1" applyFill="1"/>
    <xf numFmtId="188" fontId="18" fillId="4" borderId="7" xfId="2" applyNumberFormat="1" applyFont="1" applyFill="1" applyBorder="1"/>
    <xf numFmtId="0" fontId="54" fillId="4" borderId="0" xfId="0" applyFont="1" applyFill="1"/>
    <xf numFmtId="190" fontId="27" fillId="14" borderId="0" xfId="0" applyNumberFormat="1" applyFont="1" applyFill="1" applyAlignment="1">
      <alignment wrapText="1"/>
    </xf>
    <xf numFmtId="190" fontId="27" fillId="4" borderId="7" xfId="0" applyNumberFormat="1" applyFont="1" applyFill="1" applyBorder="1" applyAlignment="1">
      <alignment wrapText="1"/>
    </xf>
    <xf numFmtId="190" fontId="12" fillId="14" borderId="14" xfId="0" applyNumberFormat="1" applyFont="1" applyFill="1" applyBorder="1" applyAlignment="1">
      <alignment horizontal="right" vertical="center" wrapText="1"/>
    </xf>
    <xf numFmtId="176" fontId="32" fillId="14" borderId="28" xfId="3" applyFont="1" applyFill="1" applyBorder="1"/>
    <xf numFmtId="188" fontId="12" fillId="14" borderId="14" xfId="2" applyNumberFormat="1" applyFont="1" applyFill="1" applyBorder="1"/>
    <xf numFmtId="2" fontId="27" fillId="2" borderId="0" xfId="0" applyNumberFormat="1" applyFont="1" applyFill="1"/>
    <xf numFmtId="0" fontId="19" fillId="14" borderId="0" xfId="0" applyFont="1" applyFill="1" applyAlignment="1">
      <alignment horizontal="center" wrapText="1"/>
    </xf>
    <xf numFmtId="180" fontId="18" fillId="14" borderId="0" xfId="5" applyNumberFormat="1" applyFont="1" applyFill="1" applyAlignment="1">
      <alignment horizontal="center"/>
    </xf>
    <xf numFmtId="0" fontId="19" fillId="4" borderId="0" xfId="0" applyFont="1" applyFill="1" applyAlignment="1">
      <alignment horizontal="center" wrapText="1"/>
    </xf>
    <xf numFmtId="180" fontId="18" fillId="4" borderId="0" xfId="5" applyNumberFormat="1" applyFont="1" applyFill="1" applyAlignment="1">
      <alignment horizontal="center"/>
    </xf>
    <xf numFmtId="0" fontId="21" fillId="14" borderId="14" xfId="0" applyFont="1" applyFill="1" applyBorder="1" applyAlignment="1">
      <alignment horizontal="center" wrapText="1"/>
    </xf>
    <xf numFmtId="172" fontId="12" fillId="14" borderId="14" xfId="0" applyNumberFormat="1" applyFont="1" applyFill="1" applyBorder="1"/>
    <xf numFmtId="180" fontId="12" fillId="14" borderId="14" xfId="5" applyNumberFormat="1" applyFont="1" applyFill="1" applyBorder="1" applyAlignment="1">
      <alignment horizontal="center"/>
    </xf>
    <xf numFmtId="176" fontId="21" fillId="14" borderId="14" xfId="3" applyFont="1" applyFill="1" applyBorder="1" applyAlignment="1">
      <alignment horizontal="center"/>
    </xf>
    <xf numFmtId="40" fontId="12" fillId="14" borderId="14" xfId="5" applyFont="1" applyFill="1" applyBorder="1" applyAlignment="1">
      <alignment horizontal="center"/>
    </xf>
    <xf numFmtId="37" fontId="27" fillId="5" borderId="12" xfId="1" applyFont="1" applyFill="1" applyBorder="1" applyAlignment="1">
      <alignment horizontal="center"/>
    </xf>
    <xf numFmtId="10" fontId="27" fillId="5" borderId="12" xfId="3" applyNumberFormat="1" applyFont="1" applyFill="1" applyBorder="1" applyAlignment="1">
      <alignment horizontal="center"/>
    </xf>
    <xf numFmtId="191" fontId="27" fillId="5" borderId="12" xfId="0" applyNumberFormat="1" applyFont="1" applyFill="1" applyBorder="1" applyAlignment="1">
      <alignment horizontal="center"/>
    </xf>
    <xf numFmtId="174" fontId="18" fillId="5" borderId="12" xfId="2" applyFont="1" applyFill="1" applyBorder="1" applyAlignment="1">
      <alignment horizontal="center"/>
    </xf>
    <xf numFmtId="192" fontId="18" fillId="5" borderId="12" xfId="2" applyNumberFormat="1" applyFont="1" applyFill="1" applyBorder="1" applyAlignment="1">
      <alignment horizontal="center"/>
    </xf>
    <xf numFmtId="173" fontId="27" fillId="14" borderId="0" xfId="2" applyNumberFormat="1" applyFont="1" applyFill="1"/>
    <xf numFmtId="173" fontId="27" fillId="4" borderId="0" xfId="2" applyNumberFormat="1" applyFont="1" applyFill="1"/>
    <xf numFmtId="180" fontId="18" fillId="0" borderId="0" xfId="5" applyNumberFormat="1" applyFont="1"/>
    <xf numFmtId="0" fontId="19" fillId="4" borderId="7" xfId="0" applyFont="1" applyFill="1" applyBorder="1" applyAlignment="1">
      <alignment horizontal="center" wrapText="1"/>
    </xf>
    <xf numFmtId="173" fontId="27" fillId="4" borderId="7" xfId="2" applyNumberFormat="1" applyFont="1" applyFill="1" applyBorder="1"/>
    <xf numFmtId="180" fontId="18" fillId="0" borderId="7" xfId="5" applyNumberFormat="1" applyFont="1" applyBorder="1"/>
    <xf numFmtId="0" fontId="36" fillId="14" borderId="28" xfId="0" applyFont="1" applyFill="1" applyBorder="1" applyAlignment="1">
      <alignment horizontal="center" vertical="top"/>
    </xf>
    <xf numFmtId="173" fontId="12" fillId="14" borderId="14" xfId="2" applyNumberFormat="1" applyFont="1" applyFill="1" applyBorder="1"/>
    <xf numFmtId="193" fontId="12" fillId="14" borderId="14" xfId="5" applyNumberFormat="1" applyFont="1" applyFill="1" applyBorder="1" applyAlignment="1">
      <alignment horizontal="right"/>
    </xf>
    <xf numFmtId="180" fontId="26" fillId="14" borderId="14" xfId="5" applyNumberFormat="1" applyFont="1" applyFill="1" applyBorder="1"/>
    <xf numFmtId="170" fontId="27" fillId="2" borderId="0" xfId="0" applyNumberFormat="1" applyFont="1" applyFill="1"/>
    <xf numFmtId="0" fontId="27" fillId="8" borderId="0" xfId="0" applyFont="1" applyFill="1" applyAlignment="1">
      <alignment horizontal="left"/>
    </xf>
    <xf numFmtId="0" fontId="27" fillId="16" borderId="0" xfId="0" applyFont="1" applyFill="1" applyAlignment="1">
      <alignment horizontal="left" vertical="top"/>
    </xf>
    <xf numFmtId="0" fontId="27" fillId="16" borderId="0" xfId="0" applyFont="1" applyFill="1" applyAlignment="1">
      <alignment horizontal="center" vertical="top"/>
    </xf>
    <xf numFmtId="0" fontId="12" fillId="4" borderId="0" xfId="0" applyFont="1" applyFill="1" applyAlignment="1">
      <alignment horizontal="center"/>
    </xf>
    <xf numFmtId="0" fontId="24" fillId="11" borderId="0" xfId="0" applyFont="1" applyFill="1" applyAlignment="1">
      <alignment horizontal="center" vertical="center" wrapText="1"/>
    </xf>
    <xf numFmtId="0" fontId="24" fillId="11" borderId="0" xfId="0" applyFont="1" applyFill="1" applyAlignment="1">
      <alignment horizontal="center" vertical="center"/>
    </xf>
    <xf numFmtId="172" fontId="24" fillId="10" borderId="0" xfId="0" applyNumberFormat="1" applyFont="1" applyFill="1" applyAlignment="1">
      <alignment horizontal="center" vertical="center" wrapText="1"/>
    </xf>
    <xf numFmtId="0" fontId="24" fillId="9" borderId="0" xfId="0" applyFont="1" applyFill="1" applyAlignment="1">
      <alignment horizontal="left" indent="1"/>
    </xf>
    <xf numFmtId="0" fontId="21" fillId="4" borderId="32" xfId="0" applyFont="1" applyFill="1" applyBorder="1" applyAlignment="1">
      <alignment horizontal="right"/>
    </xf>
    <xf numFmtId="0" fontId="27" fillId="6" borderId="14" xfId="0" applyFont="1" applyFill="1" applyBorder="1"/>
    <xf numFmtId="37" fontId="21" fillId="6" borderId="23" xfId="1" applyFont="1" applyFill="1" applyBorder="1"/>
    <xf numFmtId="168" fontId="55" fillId="6" borderId="0" xfId="0" applyNumberFormat="1" applyFont="1" applyFill="1" applyAlignment="1">
      <alignment vertical="center" wrapText="1"/>
    </xf>
    <xf numFmtId="172" fontId="18" fillId="17" borderId="0" xfId="0" applyNumberFormat="1" applyFont="1" applyFill="1"/>
    <xf numFmtId="172" fontId="18" fillId="17" borderId="7" xfId="0" applyNumberFormat="1" applyFont="1" applyFill="1" applyBorder="1"/>
    <xf numFmtId="174" fontId="18" fillId="17" borderId="0" xfId="2" applyFont="1" applyFill="1"/>
    <xf numFmtId="174" fontId="18" fillId="17" borderId="13" xfId="2" applyFont="1" applyFill="1" applyBorder="1"/>
    <xf numFmtId="171" fontId="27" fillId="17" borderId="0" xfId="0" applyNumberFormat="1" applyFont="1" applyFill="1" applyAlignment="1">
      <alignment vertical="top"/>
    </xf>
    <xf numFmtId="4" fontId="27" fillId="18" borderId="14" xfId="0" applyNumberFormat="1" applyFont="1" applyFill="1" applyBorder="1" applyAlignment="1">
      <alignment vertical="top"/>
    </xf>
    <xf numFmtId="174" fontId="18" fillId="17" borderId="7" xfId="2" applyFont="1" applyFill="1" applyBorder="1"/>
    <xf numFmtId="174" fontId="12" fillId="17" borderId="14" xfId="2" applyFont="1" applyFill="1" applyBorder="1"/>
    <xf numFmtId="37" fontId="1" fillId="0" borderId="0" xfId="1"/>
    <xf numFmtId="173" fontId="27" fillId="17" borderId="0" xfId="2" applyNumberFormat="1" applyFont="1" applyFill="1"/>
    <xf numFmtId="173" fontId="27" fillId="17" borderId="7" xfId="2" applyNumberFormat="1" applyFont="1" applyFill="1" applyBorder="1"/>
    <xf numFmtId="172" fontId="27" fillId="17" borderId="0" xfId="0" applyNumberFormat="1" applyFont="1" applyFill="1" applyAlignment="1">
      <alignment vertical="top"/>
    </xf>
    <xf numFmtId="172" fontId="27" fillId="17" borderId="7" xfId="0" applyNumberFormat="1" applyFont="1" applyFill="1" applyBorder="1" applyAlignment="1">
      <alignment vertical="top"/>
    </xf>
    <xf numFmtId="180" fontId="18" fillId="17" borderId="0" xfId="5" applyNumberFormat="1" applyFont="1" applyFill="1" applyAlignment="1">
      <alignment horizontal="center"/>
    </xf>
    <xf numFmtId="193" fontId="19" fillId="17" borderId="0" xfId="1" applyNumberFormat="1" applyFont="1" applyFill="1" applyAlignment="1">
      <alignment horizontal="right"/>
    </xf>
    <xf numFmtId="193" fontId="19" fillId="19" borderId="0" xfId="1" applyNumberFormat="1" applyFont="1" applyFill="1" applyAlignment="1">
      <alignment horizontal="right"/>
    </xf>
    <xf numFmtId="193" fontId="19" fillId="17" borderId="7" xfId="1" applyNumberFormat="1" applyFont="1" applyFill="1" applyBorder="1" applyAlignment="1">
      <alignment horizontal="right"/>
    </xf>
    <xf numFmtId="180" fontId="12" fillId="19" borderId="12" xfId="5" applyNumberFormat="1" applyFont="1" applyFill="1" applyBorder="1" applyAlignment="1">
      <alignment horizontal="center"/>
    </xf>
    <xf numFmtId="40" fontId="18" fillId="17" borderId="0" xfId="5" applyFont="1" applyFill="1"/>
    <xf numFmtId="40" fontId="12" fillId="19" borderId="8" xfId="5" applyFont="1" applyFill="1" applyBorder="1"/>
    <xf numFmtId="174" fontId="18" fillId="19" borderId="0" xfId="2" applyFont="1" applyFill="1"/>
    <xf numFmtId="174" fontId="18" fillId="19" borderId="7" xfId="2" applyFont="1" applyFill="1" applyBorder="1"/>
    <xf numFmtId="176" fontId="18" fillId="17" borderId="0" xfId="0" applyNumberFormat="1" applyFont="1" applyFill="1" applyAlignment="1">
      <alignment horizontal="right"/>
    </xf>
    <xf numFmtId="190" fontId="27" fillId="19" borderId="0" xfId="0" applyNumberFormat="1" applyFont="1" applyFill="1" applyAlignment="1">
      <alignment wrapText="1"/>
    </xf>
    <xf numFmtId="180" fontId="12" fillId="17" borderId="0" xfId="5" applyNumberFormat="1" applyFont="1" applyFill="1"/>
    <xf numFmtId="180" fontId="12" fillId="19" borderId="7" xfId="5" applyNumberFormat="1" applyFont="1" applyFill="1" applyBorder="1"/>
    <xf numFmtId="176" fontId="1" fillId="0" borderId="0" xfId="3"/>
    <xf numFmtId="180" fontId="12" fillId="5" borderId="8" xfId="5" applyNumberFormat="1" applyFont="1" applyFill="1" applyBorder="1"/>
    <xf numFmtId="2" fontId="9" fillId="3" borderId="1" xfId="0" applyNumberFormat="1" applyFont="1" applyFill="1" applyBorder="1" applyAlignment="1">
      <alignment horizontal="center" vertical="center" wrapText="1"/>
    </xf>
    <xf numFmtId="2" fontId="12" fillId="19" borderId="1" xfId="0" applyNumberFormat="1" applyFont="1" applyFill="1" applyBorder="1" applyAlignment="1">
      <alignment horizontal="center" vertical="center" wrapText="1"/>
    </xf>
    <xf numFmtId="2" fontId="9" fillId="3" borderId="0" xfId="0" applyNumberFormat="1" applyFont="1" applyFill="1" applyAlignment="1">
      <alignment horizontal="center" vertical="center" wrapText="1"/>
    </xf>
    <xf numFmtId="0" fontId="10" fillId="0" borderId="0" xfId="0" applyFont="1"/>
    <xf numFmtId="196" fontId="0" fillId="2" borderId="0" xfId="0" applyNumberFormat="1" applyFill="1"/>
    <xf numFmtId="196" fontId="4" fillId="2" borderId="0" xfId="0" applyNumberFormat="1" applyFont="1" applyFill="1"/>
    <xf numFmtId="172" fontId="4" fillId="2" borderId="0" xfId="0" applyNumberFormat="1" applyFont="1" applyFill="1"/>
    <xf numFmtId="174" fontId="18" fillId="17" borderId="14" xfId="2" applyFont="1" applyFill="1" applyBorder="1"/>
    <xf numFmtId="37" fontId="27" fillId="20" borderId="12" xfId="1" applyFont="1" applyFill="1" applyBorder="1" applyAlignment="1">
      <alignment horizontal="center"/>
    </xf>
    <xf numFmtId="174" fontId="0" fillId="2" borderId="0" xfId="0" applyNumberFormat="1" applyFill="1"/>
    <xf numFmtId="174" fontId="18" fillId="21" borderId="0" xfId="2" applyFont="1" applyFill="1"/>
    <xf numFmtId="176" fontId="27" fillId="22" borderId="0" xfId="3" applyFont="1" applyFill="1"/>
    <xf numFmtId="176" fontId="27" fillId="21" borderId="0" xfId="3" applyFont="1" applyFill="1"/>
    <xf numFmtId="176" fontId="27" fillId="22" borderId="7" xfId="3" applyFont="1" applyFill="1" applyBorder="1"/>
    <xf numFmtId="174" fontId="27" fillId="4" borderId="0" xfId="0" applyNumberFormat="1" applyFont="1" applyFill="1" applyAlignment="1">
      <alignment horizontal="center" vertical="top"/>
    </xf>
    <xf numFmtId="10" fontId="27" fillId="0" borderId="0" xfId="3" applyNumberFormat="1" applyFont="1"/>
    <xf numFmtId="172" fontId="18" fillId="21" borderId="0" xfId="0" applyNumberFormat="1" applyFont="1" applyFill="1"/>
    <xf numFmtId="172" fontId="18" fillId="21" borderId="7" xfId="0" applyNumberFormat="1" applyFont="1" applyFill="1" applyBorder="1"/>
    <xf numFmtId="174" fontId="26" fillId="4" borderId="0" xfId="3" applyNumberFormat="1" applyFont="1" applyFill="1"/>
    <xf numFmtId="37" fontId="4" fillId="0" borderId="0" xfId="1" applyFont="1"/>
    <xf numFmtId="180" fontId="12" fillId="21" borderId="0" xfId="5" applyNumberFormat="1" applyFont="1" applyFill="1"/>
    <xf numFmtId="190" fontId="0" fillId="2" borderId="0" xfId="0" applyNumberFormat="1" applyFill="1" applyAlignment="1">
      <alignment wrapText="1"/>
    </xf>
    <xf numFmtId="172" fontId="21" fillId="4" borderId="14" xfId="0" applyNumberFormat="1" applyFont="1" applyFill="1" applyBorder="1" applyAlignment="1">
      <alignment horizontal="center" vertical="center" wrapText="1"/>
    </xf>
    <xf numFmtId="0" fontId="21" fillId="4" borderId="32" xfId="0" applyFont="1" applyFill="1" applyBorder="1" applyAlignment="1">
      <alignment horizontal="right"/>
    </xf>
    <xf numFmtId="0" fontId="21" fillId="4" borderId="25" xfId="0" applyFont="1" applyFill="1" applyBorder="1" applyAlignment="1">
      <alignment horizontal="right"/>
    </xf>
    <xf numFmtId="0" fontId="21" fillId="4" borderId="14" xfId="0" applyFont="1" applyFill="1" applyBorder="1" applyAlignment="1">
      <alignment horizontal="right"/>
    </xf>
    <xf numFmtId="168" fontId="21" fillId="6" borderId="0" xfId="0" applyNumberFormat="1" applyFont="1" applyFill="1" applyAlignment="1">
      <alignment horizontal="center" vertical="center" wrapText="1"/>
    </xf>
    <xf numFmtId="0" fontId="27" fillId="4" borderId="0" xfId="0" applyFont="1" applyFill="1"/>
    <xf numFmtId="0" fontId="27" fillId="4" borderId="17" xfId="0" applyFont="1" applyFill="1" applyBorder="1"/>
    <xf numFmtId="0" fontId="27" fillId="6" borderId="14" xfId="0" applyFont="1" applyFill="1" applyBorder="1"/>
    <xf numFmtId="0" fontId="27" fillId="6" borderId="25" xfId="0" applyFont="1" applyFill="1" applyBorder="1"/>
    <xf numFmtId="37" fontId="21" fillId="6" borderId="23" xfId="1" applyFont="1" applyFill="1" applyBorder="1"/>
    <xf numFmtId="37" fontId="21" fillId="6" borderId="22" xfId="1" applyFont="1" applyFill="1" applyBorder="1"/>
    <xf numFmtId="37" fontId="21" fillId="6" borderId="21" xfId="1" applyFont="1" applyFill="1" applyBorder="1"/>
    <xf numFmtId="0" fontId="24" fillId="11" borderId="6" xfId="0" applyFont="1" applyFill="1" applyBorder="1" applyAlignment="1">
      <alignment horizontal="center" vertical="center" wrapText="1"/>
    </xf>
    <xf numFmtId="0" fontId="24" fillId="11" borderId="17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/>
    </xf>
    <xf numFmtId="169" fontId="24" fillId="11" borderId="6" xfId="0" applyNumberFormat="1" applyFont="1" applyFill="1" applyBorder="1" applyAlignment="1">
      <alignment horizontal="center" vertical="center"/>
    </xf>
    <xf numFmtId="169" fontId="24" fillId="11" borderId="0" xfId="0" applyNumberFormat="1" applyFont="1" applyFill="1" applyAlignment="1">
      <alignment horizontal="center" vertical="center"/>
    </xf>
    <xf numFmtId="169" fontId="24" fillId="11" borderId="17" xfId="0" applyNumberFormat="1" applyFont="1" applyFill="1" applyBorder="1" applyAlignment="1">
      <alignment horizontal="center" vertical="center"/>
    </xf>
    <xf numFmtId="172" fontId="24" fillId="11" borderId="6" xfId="0" applyNumberFormat="1" applyFont="1" applyFill="1" applyBorder="1" applyAlignment="1">
      <alignment horizontal="center" vertical="center"/>
    </xf>
    <xf numFmtId="172" fontId="24" fillId="11" borderId="0" xfId="0" applyNumberFormat="1" applyFont="1" applyFill="1" applyAlignment="1">
      <alignment horizontal="center" vertical="center"/>
    </xf>
    <xf numFmtId="172" fontId="24" fillId="11" borderId="17" xfId="0" applyNumberFormat="1" applyFont="1" applyFill="1" applyBorder="1" applyAlignment="1">
      <alignment horizontal="center" vertical="center"/>
    </xf>
    <xf numFmtId="37" fontId="27" fillId="4" borderId="0" xfId="1" applyFont="1" applyFill="1" applyAlignment="1">
      <alignment horizontal="right" wrapText="1"/>
    </xf>
    <xf numFmtId="0" fontId="24" fillId="9" borderId="0" xfId="0" applyFont="1" applyFill="1" applyAlignment="1">
      <alignment horizontal="left" indent="1"/>
    </xf>
    <xf numFmtId="0" fontId="33" fillId="11" borderId="6" xfId="0" applyFont="1" applyFill="1" applyBorder="1" applyAlignment="1">
      <alignment horizontal="center" vertical="center" wrapText="1"/>
    </xf>
    <xf numFmtId="0" fontId="33" fillId="11" borderId="17" xfId="0" applyFont="1" applyFill="1" applyBorder="1" applyAlignment="1">
      <alignment horizontal="center" vertical="center" wrapText="1"/>
    </xf>
    <xf numFmtId="0" fontId="33" fillId="11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/>
    </xf>
    <xf numFmtId="172" fontId="24" fillId="10" borderId="6" xfId="0" applyNumberFormat="1" applyFont="1" applyFill="1" applyBorder="1" applyAlignment="1">
      <alignment horizontal="center" vertical="center" wrapText="1"/>
    </xf>
    <xf numFmtId="172" fontId="24" fillId="10" borderId="0" xfId="0" applyNumberFormat="1" applyFont="1" applyFill="1" applyAlignment="1">
      <alignment horizontal="center" vertical="center" wrapText="1"/>
    </xf>
    <xf numFmtId="10" fontId="21" fillId="4" borderId="0" xfId="0" applyNumberFormat="1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72" fontId="24" fillId="11" borderId="10" xfId="4" applyFont="1" applyFill="1" applyBorder="1">
      <alignment horizontal="center" vertical="center" wrapText="1"/>
    </xf>
    <xf numFmtId="172" fontId="24" fillId="11" borderId="16" xfId="4" applyFont="1" applyFill="1" applyBorder="1">
      <alignment horizontal="center" vertical="center" wrapText="1"/>
    </xf>
    <xf numFmtId="172" fontId="24" fillId="11" borderId="11" xfId="4" applyFont="1" applyFill="1" applyBorder="1">
      <alignment horizontal="center" vertical="center" wrapText="1"/>
    </xf>
    <xf numFmtId="172" fontId="24" fillId="11" borderId="6" xfId="0" applyNumberFormat="1" applyFont="1" applyFill="1" applyBorder="1" applyAlignment="1">
      <alignment horizontal="center" vertical="center" wrapText="1"/>
    </xf>
    <xf numFmtId="172" fontId="24" fillId="11" borderId="0" xfId="0" applyNumberFormat="1" applyFont="1" applyFill="1" applyAlignment="1">
      <alignment horizontal="center" vertical="center" wrapText="1"/>
    </xf>
    <xf numFmtId="0" fontId="21" fillId="4" borderId="0" xfId="0" applyFont="1" applyFill="1" applyAlignment="1">
      <alignment horizontal="center" vertical="center"/>
    </xf>
    <xf numFmtId="172" fontId="24" fillId="11" borderId="17" xfId="0" applyNumberFormat="1" applyFont="1" applyFill="1" applyBorder="1" applyAlignment="1">
      <alignment horizontal="center" vertical="center" wrapText="1"/>
    </xf>
    <xf numFmtId="0" fontId="24" fillId="11" borderId="6" xfId="0" applyFont="1" applyFill="1" applyBorder="1" applyAlignment="1">
      <alignment horizontal="center" vertical="center"/>
    </xf>
    <xf numFmtId="0" fontId="24" fillId="11" borderId="0" xfId="0" applyFont="1" applyFill="1" applyAlignment="1">
      <alignment horizontal="center" vertical="center"/>
    </xf>
    <xf numFmtId="0" fontId="24" fillId="11" borderId="17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top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  <xf numFmtId="174" fontId="26" fillId="4" borderId="0" xfId="2" applyFont="1" applyFill="1"/>
    <xf numFmtId="0" fontId="21" fillId="4" borderId="17" xfId="0" applyFont="1" applyFill="1" applyBorder="1" applyAlignment="1">
      <alignment horizontal="right" wrapText="1"/>
    </xf>
    <xf numFmtId="0" fontId="12" fillId="4" borderId="0" xfId="0" applyFont="1" applyFill="1" applyAlignment="1">
      <alignment horizontal="left" vertical="top" wrapText="1"/>
    </xf>
    <xf numFmtId="172" fontId="21" fillId="4" borderId="0" xfId="0" applyNumberFormat="1" applyFont="1" applyFill="1" applyAlignment="1">
      <alignment horizontal="center" vertical="center" wrapText="1"/>
    </xf>
    <xf numFmtId="172" fontId="21" fillId="4" borderId="0" xfId="0" applyNumberFormat="1" applyFont="1" applyFill="1" applyAlignment="1">
      <alignment vertical="center" wrapText="1"/>
    </xf>
    <xf numFmtId="0" fontId="21" fillId="4" borderId="0" xfId="0" applyFont="1" applyFill="1" applyAlignment="1">
      <alignment horizontal="center" vertical="center" wrapText="1"/>
    </xf>
    <xf numFmtId="175" fontId="21" fillId="4" borderId="0" xfId="0" applyNumberFormat="1" applyFont="1" applyFill="1" applyAlignment="1">
      <alignment vertical="center" wrapText="1"/>
    </xf>
  </cellXfs>
  <cellStyles count="9">
    <cellStyle name="Comma" xfId="1" builtinId="3"/>
    <cellStyle name="Comma 2" xfId="6" xr:uid="{F3F1AC7F-C545-4AA8-89D1-F06AA3F1CC2F}"/>
    <cellStyle name="Comma with Decimals" xfId="5" xr:uid="{17512EF0-2EF2-49A1-B9A7-6E89F8A957A2}"/>
    <cellStyle name="Currency" xfId="2" builtinId="4"/>
    <cellStyle name="Currency 2" xfId="7" xr:uid="{A7E43D22-ABA7-4542-93C3-A3D2A7190DF6}"/>
    <cellStyle name="Heading Colour 1" xfId="4" xr:uid="{1E83AAE7-96A8-43CF-8755-FE1BB2A95358}"/>
    <cellStyle name="Normal" xfId="0" builtinId="0"/>
    <cellStyle name="Percent" xfId="3" builtinId="5"/>
    <cellStyle name="Percent 2" xfId="8" xr:uid="{EF224244-C641-455F-AB52-E3A87F3D3E1E}"/>
  </cellStyles>
  <dxfs count="130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107F8A"/>
      <color rgb="FF0C33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7%20-%20Overhead%20Cost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 - Overhead Cost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A969A-2F54-4F0E-9F3A-290CE0F09350}">
  <sheetPr>
    <tabColor rgb="FF92D050"/>
  </sheetPr>
  <dimension ref="A1:NW54"/>
  <sheetViews>
    <sheetView tabSelected="1" zoomScale="90" zoomScaleNormal="90" workbookViewId="0">
      <selection activeCell="F18" sqref="F18"/>
    </sheetView>
  </sheetViews>
  <sheetFormatPr defaultRowHeight="16.5" x14ac:dyDescent="0.3"/>
  <cols>
    <col min="1" max="1" width="2.42578125" style="518" customWidth="1"/>
    <col min="2" max="2" width="4.140625" style="518" customWidth="1"/>
    <col min="3" max="4" width="2.42578125" style="518" customWidth="1"/>
    <col min="5" max="5" width="33.140625" style="518" customWidth="1"/>
    <col min="6" max="6" width="19" style="518" customWidth="1"/>
    <col min="7" max="7" width="12.140625" style="518" customWidth="1"/>
    <col min="8" max="8" width="17.85546875" style="518" customWidth="1"/>
    <col min="9" max="9" width="12" style="518" customWidth="1"/>
    <col min="10" max="11" width="17.28515625" style="518" customWidth="1"/>
    <col min="12" max="12" width="11.5703125" style="518" customWidth="1"/>
    <col min="13" max="13" width="16.7109375" style="518" customWidth="1"/>
    <col min="14" max="14" width="17.85546875" style="518" customWidth="1"/>
    <col min="15" max="15" width="12" style="518" customWidth="1"/>
    <col min="16" max="16" width="18.42578125" style="518" customWidth="1"/>
    <col min="17" max="18" width="17.28515625" style="518" customWidth="1"/>
    <col min="19" max="19" width="7" style="518" customWidth="1"/>
    <col min="20" max="20" width="7" style="102" customWidth="1"/>
    <col min="21" max="21" width="7" style="518" customWidth="1"/>
    <col min="22" max="22" width="4.5703125" style="518" customWidth="1"/>
    <col min="23" max="23" width="61.85546875" style="518" customWidth="1"/>
    <col min="24" max="27" width="14.85546875" style="518" customWidth="1"/>
    <col min="28" max="28" width="3" style="518" customWidth="1"/>
    <col min="29" max="29" width="5.85546875" style="518" customWidth="1"/>
    <col min="30" max="30" width="7" style="102" customWidth="1"/>
    <col min="31" max="31" width="6.28515625" style="518" customWidth="1"/>
    <col min="32" max="32" width="4.5703125" style="518" customWidth="1"/>
    <col min="33" max="33" width="27" style="518" customWidth="1"/>
    <col min="34" max="36" width="20.140625" style="518" customWidth="1"/>
    <col min="37" max="37" width="7" style="518" customWidth="1"/>
    <col min="38" max="38" width="4" style="102" customWidth="1"/>
    <col min="39" max="39" width="2.42578125" style="518" customWidth="1"/>
    <col min="40" max="40" width="4.140625" style="518" customWidth="1"/>
    <col min="41" max="42" width="2.42578125" style="518" customWidth="1"/>
    <col min="43" max="43" width="32.7109375" style="518" customWidth="1"/>
    <col min="44" max="44" width="7.5703125" style="518" customWidth="1"/>
    <col min="45" max="45" width="16.5703125" style="518" hidden="1" customWidth="1"/>
    <col min="46" max="46" width="17.140625" style="518" hidden="1" customWidth="1"/>
    <col min="47" max="47" width="2.42578125" style="518" hidden="1" customWidth="1"/>
    <col min="48" max="48" width="15.42578125" style="518" hidden="1" customWidth="1"/>
    <col min="49" max="49" width="16.7109375" style="518" hidden="1" customWidth="1"/>
    <col min="50" max="50" width="12.140625" style="518" hidden="1" customWidth="1"/>
    <col min="51" max="51" width="1.85546875" style="518" hidden="1" customWidth="1"/>
    <col min="52" max="52" width="15.42578125" style="518" hidden="1" customWidth="1"/>
    <col min="53" max="53" width="16.7109375" style="518" hidden="1" customWidth="1"/>
    <col min="54" max="54" width="12.140625" style="518" hidden="1" customWidth="1"/>
    <col min="55" max="55" width="2.42578125" style="518" hidden="1" customWidth="1"/>
    <col min="56" max="56" width="15.42578125" style="518" hidden="1" customWidth="1"/>
    <col min="57" max="57" width="16.7109375" style="518" hidden="1" customWidth="1"/>
    <col min="58" max="58" width="12.140625" style="518" hidden="1" customWidth="1"/>
    <col min="59" max="59" width="2.42578125" style="518" hidden="1" customWidth="1"/>
    <col min="60" max="60" width="15.42578125" style="518" hidden="1" customWidth="1"/>
    <col min="61" max="61" width="16.7109375" style="518" hidden="1" customWidth="1"/>
    <col min="62" max="62" width="12.140625" style="518" hidden="1" customWidth="1"/>
    <col min="63" max="63" width="1.85546875" style="518" hidden="1" customWidth="1"/>
    <col min="64" max="64" width="15.42578125" style="518" hidden="1" customWidth="1"/>
    <col min="65" max="65" width="16.7109375" style="518" hidden="1" customWidth="1"/>
    <col min="66" max="66" width="12.140625" style="518" hidden="1" customWidth="1"/>
    <col min="67" max="67" width="1.85546875" style="518" hidden="1" customWidth="1"/>
    <col min="68" max="68" width="15.42578125" style="518" hidden="1" customWidth="1"/>
    <col min="69" max="69" width="16.7109375" style="518" hidden="1" customWidth="1"/>
    <col min="70" max="70" width="12.140625" style="518" hidden="1" customWidth="1"/>
    <col min="71" max="71" width="1.85546875" style="518" hidden="1" customWidth="1"/>
    <col min="72" max="72" width="18.42578125" style="518" hidden="1" customWidth="1"/>
    <col min="73" max="77" width="16.5703125" style="518" hidden="1" customWidth="1"/>
    <col min="78" max="79" width="16.5703125" style="518" customWidth="1"/>
    <col min="80" max="80" width="16.5703125" style="518" hidden="1" customWidth="1"/>
    <col min="81" max="81" width="18.42578125" style="518" customWidth="1"/>
    <col min="82" max="85" width="16.5703125" style="518" customWidth="1"/>
    <col min="86" max="86" width="2.85546875" style="518" customWidth="1"/>
    <col min="87" max="87" width="3" style="102" customWidth="1"/>
    <col min="88" max="88" width="3" style="518" customWidth="1"/>
    <col min="89" max="89" width="4.7109375" style="518" customWidth="1"/>
    <col min="90" max="90" width="17.140625" style="518" customWidth="1"/>
    <col min="91" max="91" width="15.5703125" style="518" customWidth="1"/>
    <col min="92" max="92" width="17.140625" style="518" bestFit="1" customWidth="1"/>
    <col min="93" max="93" width="15.5703125" style="518" customWidth="1"/>
    <col min="94" max="94" width="17.5703125" style="518" bestFit="1" customWidth="1"/>
    <col min="95" max="95" width="15.5703125" style="518" customWidth="1"/>
    <col min="96" max="96" width="17.5703125" style="518" customWidth="1"/>
    <col min="97" max="97" width="15.5703125" style="518" customWidth="1"/>
    <col min="98" max="98" width="17.5703125" style="518" bestFit="1" customWidth="1"/>
    <col min="99" max="99" width="3" style="518" customWidth="1"/>
    <col min="100" max="100" width="3" style="102" customWidth="1"/>
    <col min="101" max="101" width="3" style="518" customWidth="1"/>
    <col min="102" max="102" width="5.28515625" style="518" customWidth="1"/>
    <col min="103" max="103" width="17.140625" style="518" customWidth="1"/>
    <col min="104" max="104" width="16.5703125" style="518" customWidth="1"/>
    <col min="105" max="105" width="16.5703125" style="103" customWidth="1"/>
    <col min="106" max="107" width="16.5703125" style="518" customWidth="1"/>
    <col min="108" max="108" width="20.140625" style="518" customWidth="1"/>
    <col min="109" max="109" width="3" style="518" customWidth="1"/>
    <col min="110" max="110" width="3" style="102" customWidth="1"/>
    <col min="111" max="111" width="3" style="518" customWidth="1"/>
    <col min="112" max="112" width="5.28515625" style="518" customWidth="1"/>
    <col min="113" max="113" width="15.5703125" style="518" customWidth="1"/>
    <col min="114" max="114" width="17.85546875" style="518" customWidth="1"/>
    <col min="115" max="115" width="17.85546875" style="103" customWidth="1"/>
    <col min="116" max="117" width="17.85546875" style="518" customWidth="1"/>
    <col min="118" max="118" width="3" style="518" customWidth="1"/>
    <col min="119" max="119" width="3" style="102" customWidth="1"/>
    <col min="120" max="120" width="2.42578125" style="518" customWidth="1"/>
    <col min="121" max="121" width="5.28515625" style="518" customWidth="1"/>
    <col min="122" max="122" width="34.85546875" style="104" customWidth="1"/>
    <col min="123" max="123" width="15.5703125" style="96" customWidth="1"/>
    <col min="124" max="124" width="16.5703125" style="96" customWidth="1"/>
    <col min="125" max="125" width="16.7109375" style="96" bestFit="1" customWidth="1"/>
    <col min="126" max="126" width="17.140625" style="96" bestFit="1" customWidth="1"/>
    <col min="127" max="128" width="15.5703125" style="518" customWidth="1"/>
    <col min="129" max="130" width="17.140625" style="518" bestFit="1" customWidth="1"/>
    <col min="131" max="131" width="3" style="518" customWidth="1"/>
    <col min="132" max="132" width="3" style="102" customWidth="1"/>
    <col min="133" max="133" width="3" style="518" customWidth="1"/>
    <col min="134" max="134" width="5.28515625" style="518" customWidth="1"/>
    <col min="135" max="135" width="17.28515625" style="518" customWidth="1"/>
    <col min="136" max="143" width="15.5703125" style="518" customWidth="1"/>
    <col min="144" max="144" width="3" style="518" customWidth="1"/>
    <col min="145" max="145" width="3" style="102" customWidth="1"/>
    <col min="146" max="146" width="3" style="518" customWidth="1"/>
    <col min="147" max="147" width="4.5703125" style="518" customWidth="1"/>
    <col min="148" max="148" width="16.5703125" style="518" customWidth="1"/>
    <col min="149" max="150" width="15.5703125" style="518" bestFit="1" customWidth="1"/>
    <col min="151" max="151" width="14.7109375" style="518" bestFit="1" customWidth="1"/>
    <col min="152" max="152" width="15.5703125" style="518" bestFit="1" customWidth="1"/>
    <col min="153" max="153" width="14.42578125" style="518" customWidth="1"/>
    <col min="154" max="155" width="15.5703125" style="518" bestFit="1" customWidth="1"/>
    <col min="156" max="156" width="15.85546875" style="518" bestFit="1" customWidth="1"/>
    <col min="157" max="157" width="16.7109375" style="518" customWidth="1"/>
    <col min="158" max="158" width="22" style="518" customWidth="1"/>
    <col min="159" max="159" width="16.7109375" style="518" customWidth="1"/>
    <col min="160" max="160" width="3" style="518" customWidth="1"/>
    <col min="161" max="161" width="3" style="102" customWidth="1"/>
    <col min="162" max="162" width="3" style="518" customWidth="1"/>
    <col min="163" max="163" width="5.28515625" style="518" customWidth="1"/>
    <col min="164" max="164" width="1.28515625" style="518" customWidth="1"/>
    <col min="165" max="165" width="38.28515625" style="518" customWidth="1"/>
    <col min="166" max="167" width="15.5703125" style="518" bestFit="1" customWidth="1"/>
    <col min="168" max="168" width="15.85546875" style="518" bestFit="1" customWidth="1"/>
    <col min="169" max="169" width="17.140625" style="518" bestFit="1" customWidth="1"/>
    <col min="170" max="170" width="15" style="518" bestFit="1" customWidth="1"/>
    <col min="171" max="172" width="15.85546875" style="518" bestFit="1" customWidth="1"/>
    <col min="173" max="173" width="15.5703125" style="518" bestFit="1" customWidth="1"/>
    <col min="174" max="174" width="21.28515625" style="518" customWidth="1"/>
    <col min="175" max="175" width="3" style="518" customWidth="1"/>
    <col min="176" max="176" width="3" style="102" customWidth="1"/>
    <col min="177" max="177" width="3" style="518" customWidth="1"/>
    <col min="178" max="178" width="10.42578125" style="518" customWidth="1"/>
    <col min="179" max="179" width="34.28515625" style="518" bestFit="1" customWidth="1"/>
    <col min="180" max="180" width="13.28515625" style="518" bestFit="1" customWidth="1"/>
    <col min="181" max="181" width="13.5703125" style="518" bestFit="1" customWidth="1"/>
    <col min="182" max="183" width="15.5703125" style="518" bestFit="1" customWidth="1"/>
    <col min="184" max="184" width="11" style="518" bestFit="1" customWidth="1"/>
    <col min="185" max="185" width="13.140625" style="518" bestFit="1" customWidth="1"/>
    <col min="186" max="186" width="13.85546875" style="518" bestFit="1" customWidth="1"/>
    <col min="187" max="187" width="14.28515625" style="518" bestFit="1" customWidth="1"/>
    <col min="188" max="188" width="3" style="518" customWidth="1"/>
    <col min="189" max="189" width="3" style="102" customWidth="1"/>
    <col min="190" max="190" width="3" style="518" customWidth="1"/>
    <col min="191" max="191" width="10.42578125" style="518" customWidth="1"/>
    <col min="192" max="192" width="34.28515625" style="518" bestFit="1" customWidth="1"/>
    <col min="193" max="200" width="12.7109375" style="518" customWidth="1"/>
    <col min="201" max="201" width="3" style="518" customWidth="1"/>
    <col min="202" max="202" width="3" style="102" customWidth="1"/>
    <col min="203" max="203" width="3" style="518" customWidth="1"/>
    <col min="204" max="204" width="10.42578125" style="518" customWidth="1"/>
    <col min="205" max="205" width="27.5703125" style="518" customWidth="1"/>
    <col min="206" max="206" width="13.5703125" style="518" bestFit="1" customWidth="1"/>
    <col min="207" max="207" width="13.28515625" style="518" bestFit="1" customWidth="1"/>
    <col min="208" max="208" width="15" style="518" bestFit="1" customWidth="1"/>
    <col min="209" max="209" width="15.85546875" style="518" bestFit="1" customWidth="1"/>
    <col min="210" max="210" width="11.5703125" style="518" bestFit="1" customWidth="1"/>
    <col min="211" max="211" width="11" style="518" bestFit="1" customWidth="1"/>
    <col min="212" max="212" width="12.7109375" style="518" bestFit="1" customWidth="1"/>
    <col min="213" max="213" width="13.28515625" style="518" bestFit="1" customWidth="1"/>
    <col min="214" max="214" width="3" style="518" customWidth="1"/>
    <col min="215" max="215" width="3" style="102" customWidth="1"/>
    <col min="216" max="216" width="3" style="518" customWidth="1"/>
    <col min="217" max="217" width="5.28515625" style="518" customWidth="1"/>
    <col min="218" max="218" width="16.7109375" style="518" customWidth="1"/>
    <col min="219" max="221" width="17.28515625" style="518" customWidth="1"/>
    <col min="222" max="222" width="19.28515625" style="518" bestFit="1" customWidth="1"/>
    <col min="223" max="226" width="17.28515625" style="518" customWidth="1"/>
    <col min="227" max="227" width="3" style="518" customWidth="1"/>
    <col min="228" max="228" width="3" style="102" customWidth="1"/>
    <col min="229" max="229" width="3" style="518" customWidth="1"/>
    <col min="230" max="230" width="2.85546875" style="518" customWidth="1"/>
    <col min="231" max="231" width="5.7109375" style="518" customWidth="1"/>
    <col min="232" max="232" width="9.28515625" style="518" bestFit="1" customWidth="1"/>
    <col min="233" max="233" width="15.7109375" style="518" bestFit="1" customWidth="1"/>
    <col min="234" max="234" width="15.140625" style="518" bestFit="1" customWidth="1"/>
    <col min="235" max="235" width="24.85546875" style="518" bestFit="1" customWidth="1"/>
    <col min="236" max="236" width="26" style="518" bestFit="1" customWidth="1"/>
    <col min="237" max="237" width="8.5703125" style="518" bestFit="1" customWidth="1"/>
    <col min="238" max="238" width="10" style="518" bestFit="1" customWidth="1"/>
    <col min="239" max="241" width="10.28515625" style="518" bestFit="1" customWidth="1"/>
    <col min="242" max="242" width="4.140625" style="518" customWidth="1"/>
    <col min="243" max="243" width="4.140625" style="102" customWidth="1"/>
    <col min="244" max="244" width="4.140625" style="518" customWidth="1"/>
    <col min="245" max="245" width="5.28515625" style="518" customWidth="1"/>
    <col min="246" max="246" width="11.42578125" style="518" customWidth="1"/>
    <col min="247" max="247" width="11.85546875" style="518" customWidth="1"/>
    <col min="248" max="248" width="19.28515625" style="518" customWidth="1"/>
    <col min="249" max="249" width="15.140625" style="518" bestFit="1" customWidth="1"/>
    <col min="250" max="250" width="18.7109375" style="518" bestFit="1" customWidth="1"/>
    <col min="251" max="251" width="19" style="518" bestFit="1" customWidth="1"/>
    <col min="252" max="252" width="17.5703125" style="518" bestFit="1" customWidth="1"/>
    <col min="253" max="253" width="16.7109375" style="518" bestFit="1" customWidth="1"/>
    <col min="254" max="255" width="15.5703125" style="518" customWidth="1"/>
    <col min="256" max="256" width="16.28515625" style="518" bestFit="1" customWidth="1"/>
    <col min="257" max="257" width="15.42578125" style="518" bestFit="1" customWidth="1"/>
    <col min="258" max="258" width="4.140625" style="518" customWidth="1"/>
    <col min="259" max="259" width="4.140625" style="102" customWidth="1"/>
    <col min="260" max="260" width="4.140625" style="518" customWidth="1"/>
    <col min="261" max="261" width="5.28515625" style="518" customWidth="1"/>
    <col min="262" max="262" width="16.140625" style="518" customWidth="1"/>
    <col min="263" max="263" width="8.5703125" style="518" customWidth="1"/>
    <col min="264" max="264" width="10.28515625" style="518" customWidth="1"/>
    <col min="265" max="266" width="17.5703125" style="518" bestFit="1" customWidth="1"/>
    <col min="267" max="267" width="15.5703125" style="518" bestFit="1" customWidth="1"/>
    <col min="268" max="268" width="15.5703125" style="107" bestFit="1" customWidth="1"/>
    <col min="269" max="269" width="17.140625" style="518" bestFit="1" customWidth="1"/>
    <col min="270" max="270" width="16.140625" style="107" bestFit="1" customWidth="1"/>
    <col min="271" max="271" width="17.140625" style="518" bestFit="1" customWidth="1"/>
    <col min="272" max="272" width="16.7109375" style="518" bestFit="1" customWidth="1"/>
    <col min="273" max="273" width="15.85546875" style="518" bestFit="1" customWidth="1"/>
    <col min="274" max="274" width="15" style="518" bestFit="1" customWidth="1"/>
    <col min="275" max="276" width="15.5703125" style="518" bestFit="1" customWidth="1"/>
    <col min="277" max="278" width="15.85546875" style="518" bestFit="1" customWidth="1"/>
    <col min="279" max="279" width="15.5703125" style="518" bestFit="1" customWidth="1"/>
    <col min="280" max="280" width="17.140625" style="518" bestFit="1" customWidth="1"/>
    <col min="281" max="281" width="23" style="518" customWidth="1"/>
    <col min="282" max="282" width="27" style="518" customWidth="1"/>
    <col min="283" max="283" width="20.7109375" style="518" bestFit="1" customWidth="1"/>
    <col min="284" max="284" width="3.42578125" style="518" customWidth="1"/>
    <col min="285" max="285" width="3.42578125" style="102" customWidth="1"/>
    <col min="286" max="286" width="2.42578125" style="518" customWidth="1"/>
    <col min="287" max="287" width="6.42578125" style="518" customWidth="1"/>
    <col min="288" max="288" width="9.85546875" style="518" customWidth="1"/>
    <col min="289" max="289" width="8.85546875" style="518" bestFit="1" customWidth="1"/>
    <col min="290" max="290" width="9.85546875" style="518" customWidth="1"/>
    <col min="291" max="292" width="16.7109375" style="518" customWidth="1"/>
    <col min="293" max="293" width="8.7109375" style="518" customWidth="1"/>
    <col min="294" max="294" width="9.85546875" style="518" customWidth="1"/>
    <col min="295" max="295" width="8.85546875" style="518" bestFit="1" customWidth="1"/>
    <col min="296" max="296" width="10.42578125" style="518" customWidth="1"/>
    <col min="297" max="297" width="4.140625" style="518" customWidth="1"/>
    <col min="298" max="298" width="4.140625" style="102" customWidth="1"/>
    <col min="299" max="299" width="4.140625" style="518" customWidth="1"/>
    <col min="300" max="300" width="5.140625" style="518" customWidth="1"/>
    <col min="301" max="301" width="12.5703125" style="518" customWidth="1"/>
    <col min="302" max="302" width="12.140625" style="518" customWidth="1"/>
    <col min="303" max="305" width="13.140625" style="518" customWidth="1"/>
    <col min="306" max="307" width="19" style="518" bestFit="1" customWidth="1"/>
    <col min="308" max="308" width="16.7109375" style="518" bestFit="1" customWidth="1"/>
    <col min="309" max="309" width="18.140625" style="518" bestFit="1" customWidth="1"/>
    <col min="310" max="311" width="15.85546875" style="518" bestFit="1" customWidth="1"/>
    <col min="312" max="312" width="17.5703125" style="518" bestFit="1" customWidth="1"/>
    <col min="313" max="313" width="18.7109375" style="518" bestFit="1" customWidth="1"/>
    <col min="314" max="314" width="4.140625" style="518" customWidth="1"/>
    <col min="315" max="315" width="4.140625" style="102" customWidth="1"/>
    <col min="316" max="316" width="4.140625" style="518" customWidth="1"/>
    <col min="317" max="317" width="5.140625" style="518" customWidth="1"/>
    <col min="318" max="318" width="21.5703125" style="518" customWidth="1"/>
    <col min="319" max="319" width="11.5703125" style="518" customWidth="1"/>
    <col min="320" max="320" width="17.5703125" style="518" customWidth="1"/>
    <col min="321" max="321" width="16.7109375" style="518" bestFit="1" customWidth="1"/>
    <col min="322" max="322" width="17.5703125" style="518" bestFit="1" customWidth="1"/>
    <col min="323" max="323" width="15" style="518" customWidth="1"/>
    <col min="324" max="324" width="15" style="107" customWidth="1"/>
    <col min="325" max="325" width="15" style="518" customWidth="1"/>
    <col min="326" max="326" width="17.140625" style="107" bestFit="1" customWidth="1"/>
    <col min="327" max="327" width="15" style="107" customWidth="1"/>
    <col min="328" max="328" width="17.28515625" style="518" bestFit="1" customWidth="1"/>
    <col min="329" max="329" width="15" style="518" customWidth="1"/>
    <col min="330" max="330" width="15.85546875" style="518" bestFit="1" customWidth="1"/>
    <col min="331" max="334" width="15" style="518" customWidth="1"/>
    <col min="335" max="335" width="16.140625" style="518" bestFit="1" customWidth="1"/>
    <col min="336" max="336" width="17.140625" style="518" bestFit="1" customWidth="1"/>
    <col min="337" max="337" width="17.85546875" style="518" customWidth="1"/>
    <col min="338" max="338" width="17.5703125" style="518" bestFit="1" customWidth="1"/>
    <col min="339" max="339" width="7" style="518" customWidth="1"/>
    <col min="340" max="340" width="2.42578125" style="102" customWidth="1"/>
    <col min="341" max="342" width="6.85546875" style="518" customWidth="1"/>
    <col min="343" max="343" width="9.85546875" style="518" customWidth="1"/>
    <col min="344" max="344" width="18.85546875" style="518" customWidth="1"/>
    <col min="345" max="345" width="18.42578125" style="518" customWidth="1"/>
    <col min="346" max="346" width="18.7109375" style="518" bestFit="1" customWidth="1"/>
    <col min="347" max="347" width="17.5703125" style="518" bestFit="1" customWidth="1"/>
    <col min="348" max="348" width="17.140625" style="518" bestFit="1" customWidth="1"/>
    <col min="349" max="349" width="17.5703125" style="518" bestFit="1" customWidth="1"/>
    <col min="350" max="351" width="15.85546875" style="518" bestFit="1" customWidth="1"/>
    <col min="352" max="352" width="17.5703125" style="518" bestFit="1" customWidth="1"/>
    <col min="353" max="353" width="9.140625" style="518"/>
    <col min="354" max="354" width="2.85546875" style="102" customWidth="1"/>
    <col min="355" max="355" width="2.85546875" style="518" customWidth="1"/>
    <col min="356" max="356" width="16.5703125" style="518" customWidth="1"/>
    <col min="357" max="357" width="33.85546875" style="518" bestFit="1" customWidth="1"/>
    <col min="358" max="358" width="16.5703125" style="518" customWidth="1"/>
    <col min="359" max="359" width="2.85546875" style="518" customWidth="1"/>
    <col min="360" max="360" width="2.85546875" style="102" customWidth="1"/>
    <col min="361" max="361" width="2.85546875" style="518" customWidth="1"/>
    <col min="362" max="362" width="4.140625" style="96" customWidth="1"/>
    <col min="363" max="363" width="61.140625" style="96" customWidth="1"/>
    <col min="364" max="364" width="18.42578125" style="518" bestFit="1" customWidth="1"/>
    <col min="365" max="365" width="20.5703125" style="518" customWidth="1"/>
    <col min="366" max="366" width="17.28515625" style="518" hidden="1" customWidth="1"/>
    <col min="367" max="367" width="21.85546875" style="518" bestFit="1" customWidth="1"/>
    <col min="368" max="368" width="21.7109375" style="518" customWidth="1"/>
    <col min="369" max="369" width="4.140625" style="518" customWidth="1"/>
    <col min="370" max="370" width="2.85546875" style="102" customWidth="1"/>
    <col min="371" max="371" width="2.85546875" style="518" customWidth="1"/>
    <col min="372" max="372" width="4.7109375" style="518" bestFit="1" customWidth="1"/>
    <col min="373" max="373" width="60.7109375" style="107" bestFit="1" customWidth="1"/>
    <col min="374" max="374" width="26.140625" style="518" customWidth="1"/>
    <col min="375" max="375" width="26.85546875" style="518" bestFit="1" customWidth="1"/>
    <col min="376" max="376" width="18.42578125" style="518" bestFit="1" customWidth="1"/>
    <col min="377" max="377" width="14.28515625" style="518" customWidth="1"/>
    <col min="378" max="378" width="4.140625" style="518" customWidth="1"/>
    <col min="379" max="379" width="2.85546875" style="102" customWidth="1"/>
    <col min="380" max="380" width="2.85546875" style="518" customWidth="1"/>
    <col min="381" max="381" width="13.85546875" style="97" bestFit="1" customWidth="1"/>
    <col min="382" max="382" width="14.28515625" style="97" bestFit="1" customWidth="1"/>
    <col min="383" max="383" width="13" style="97" bestFit="1" customWidth="1"/>
    <col min="384" max="387" width="9.140625" style="97"/>
  </cols>
  <sheetData>
    <row r="1" spans="2:387" x14ac:dyDescent="0.3">
      <c r="B1" s="981" t="s">
        <v>0</v>
      </c>
      <c r="C1" s="981"/>
      <c r="D1" s="981"/>
      <c r="E1" s="981"/>
      <c r="F1" s="981"/>
      <c r="G1" s="981"/>
      <c r="H1" s="981"/>
      <c r="I1" s="981"/>
      <c r="J1" s="981"/>
      <c r="K1" s="981"/>
      <c r="L1" s="981"/>
      <c r="M1" s="981"/>
      <c r="N1" s="981"/>
      <c r="O1" s="981"/>
      <c r="P1" s="981"/>
      <c r="Q1" s="981"/>
      <c r="R1" s="981"/>
      <c r="S1" s="91"/>
      <c r="T1" s="92"/>
      <c r="U1" s="91"/>
      <c r="V1" s="91"/>
      <c r="W1" s="981" t="s">
        <v>1</v>
      </c>
      <c r="X1" s="981"/>
      <c r="Y1" s="981"/>
      <c r="Z1" s="981"/>
      <c r="AA1" s="981"/>
      <c r="AB1" s="492"/>
      <c r="AC1" s="492"/>
      <c r="AE1" s="492"/>
      <c r="AF1" s="981" t="s">
        <v>2</v>
      </c>
      <c r="AG1" s="981"/>
      <c r="AH1" s="981"/>
      <c r="AI1" s="981"/>
      <c r="AJ1" s="981"/>
      <c r="AK1" s="91"/>
      <c r="AL1" s="94"/>
      <c r="AM1" s="91"/>
      <c r="AN1" s="981" t="s">
        <v>3</v>
      </c>
      <c r="AO1" s="981"/>
      <c r="AP1" s="981"/>
      <c r="AQ1" s="981"/>
      <c r="AR1" s="981"/>
      <c r="AS1" s="981"/>
      <c r="AT1" s="981"/>
      <c r="AU1" s="981"/>
      <c r="AV1" s="981"/>
      <c r="AW1" s="981"/>
      <c r="AX1" s="981"/>
      <c r="AY1" s="981"/>
      <c r="AZ1" s="981"/>
      <c r="BA1" s="981"/>
      <c r="BB1" s="981"/>
      <c r="BC1" s="981"/>
      <c r="BD1" s="981"/>
      <c r="BE1" s="981"/>
      <c r="BF1" s="981"/>
      <c r="BG1" s="981"/>
      <c r="BH1" s="981"/>
      <c r="BI1" s="981"/>
      <c r="BJ1" s="981"/>
      <c r="BK1" s="981"/>
      <c r="BL1" s="981"/>
      <c r="BM1" s="981"/>
      <c r="BN1" s="981"/>
      <c r="BO1" s="981"/>
      <c r="BP1" s="981"/>
      <c r="BQ1" s="981"/>
      <c r="BR1" s="981"/>
      <c r="BS1" s="981"/>
      <c r="BT1" s="981"/>
      <c r="BU1" s="981"/>
      <c r="BV1" s="981"/>
      <c r="BW1" s="981"/>
      <c r="BX1" s="981"/>
      <c r="BY1" s="981"/>
      <c r="BZ1" s="981"/>
      <c r="CA1" s="981"/>
      <c r="CB1" s="981"/>
      <c r="CC1" s="981"/>
      <c r="CD1" s="981"/>
      <c r="CE1" s="981"/>
      <c r="CF1" s="981"/>
      <c r="CG1" s="981"/>
      <c r="CH1" s="91"/>
      <c r="CI1" s="92"/>
      <c r="CJ1" s="981" t="s">
        <v>4</v>
      </c>
      <c r="CK1" s="981"/>
      <c r="CL1" s="981"/>
      <c r="CM1" s="981"/>
      <c r="CN1" s="981"/>
      <c r="CO1" s="981"/>
      <c r="CP1" s="981"/>
      <c r="CQ1" s="981"/>
      <c r="CR1" s="981"/>
      <c r="CS1" s="981"/>
      <c r="CT1" s="981"/>
      <c r="CU1" s="981"/>
      <c r="CV1" s="95"/>
      <c r="CW1" s="981" t="s">
        <v>5</v>
      </c>
      <c r="CX1" s="981"/>
      <c r="CY1" s="981"/>
      <c r="CZ1" s="981"/>
      <c r="DA1" s="981"/>
      <c r="DB1" s="981"/>
      <c r="DC1" s="981"/>
      <c r="DD1" s="981"/>
      <c r="DE1" s="981"/>
      <c r="DF1" s="95"/>
      <c r="DG1" s="981" t="s">
        <v>6</v>
      </c>
      <c r="DH1" s="981"/>
      <c r="DI1" s="981"/>
      <c r="DJ1" s="981"/>
      <c r="DK1" s="981"/>
      <c r="DL1" s="981"/>
      <c r="DM1" s="981"/>
      <c r="DN1" s="981"/>
      <c r="DO1" s="94"/>
      <c r="DP1" s="981" t="s">
        <v>7</v>
      </c>
      <c r="DQ1" s="981"/>
      <c r="DR1" s="981"/>
      <c r="DS1" s="981"/>
      <c r="DT1" s="981"/>
      <c r="DU1" s="981"/>
      <c r="DV1" s="981"/>
      <c r="DW1" s="981"/>
      <c r="DX1" s="981"/>
      <c r="DY1" s="981"/>
      <c r="DZ1" s="981"/>
      <c r="EA1" s="981"/>
      <c r="EB1" s="95"/>
      <c r="ED1" s="969" t="s">
        <v>8</v>
      </c>
      <c r="EE1" s="969"/>
      <c r="EF1" s="969"/>
      <c r="EG1" s="969"/>
      <c r="EH1" s="969"/>
      <c r="EI1" s="969"/>
      <c r="EJ1" s="969"/>
      <c r="EK1" s="969"/>
      <c r="EL1" s="969"/>
      <c r="EM1" s="969"/>
      <c r="EN1" s="91"/>
      <c r="EO1" s="95"/>
      <c r="EP1" s="91"/>
      <c r="EQ1" s="969" t="s">
        <v>9</v>
      </c>
      <c r="ER1" s="969"/>
      <c r="ES1" s="969"/>
      <c r="ET1" s="969"/>
      <c r="EU1" s="969"/>
      <c r="EV1" s="969"/>
      <c r="EW1" s="969"/>
      <c r="EX1" s="969"/>
      <c r="EY1" s="969"/>
      <c r="EZ1" s="969"/>
      <c r="FA1" s="969"/>
      <c r="FB1" s="969"/>
      <c r="FC1" s="969"/>
      <c r="FD1" s="91"/>
      <c r="FE1" s="95"/>
      <c r="FF1" s="91"/>
      <c r="FG1" s="969" t="s">
        <v>10</v>
      </c>
      <c r="FH1" s="969"/>
      <c r="FI1" s="969"/>
      <c r="FJ1" s="969"/>
      <c r="FK1" s="969"/>
      <c r="FL1" s="969"/>
      <c r="FM1" s="969"/>
      <c r="FN1" s="969"/>
      <c r="FO1" s="969"/>
      <c r="FP1" s="969"/>
      <c r="FQ1" s="969"/>
      <c r="FR1" s="969"/>
      <c r="FS1" s="91"/>
      <c r="FT1" s="95"/>
      <c r="FU1" s="969" t="s">
        <v>11</v>
      </c>
      <c r="FV1" s="969"/>
      <c r="FW1" s="969"/>
      <c r="FX1" s="969"/>
      <c r="FY1" s="969"/>
      <c r="FZ1" s="969"/>
      <c r="GA1" s="969"/>
      <c r="GB1" s="969"/>
      <c r="GC1" s="969"/>
      <c r="GD1" s="969"/>
      <c r="GE1" s="969"/>
      <c r="GF1" s="969"/>
      <c r="GG1" s="92"/>
      <c r="GH1" s="969" t="s">
        <v>12</v>
      </c>
      <c r="GI1" s="969"/>
      <c r="GJ1" s="969"/>
      <c r="GK1" s="969"/>
      <c r="GL1" s="969"/>
      <c r="GM1" s="969"/>
      <c r="GN1" s="969"/>
      <c r="GO1" s="969"/>
      <c r="GP1" s="969"/>
      <c r="GQ1" s="969"/>
      <c r="GR1" s="969"/>
      <c r="GS1" s="969"/>
      <c r="GT1" s="92"/>
      <c r="GU1" s="969" t="s">
        <v>13</v>
      </c>
      <c r="GV1" s="969"/>
      <c r="GW1" s="969"/>
      <c r="GX1" s="969"/>
      <c r="GY1" s="969"/>
      <c r="GZ1" s="969"/>
      <c r="HA1" s="969"/>
      <c r="HB1" s="969"/>
      <c r="HC1" s="969"/>
      <c r="HD1" s="969"/>
      <c r="HE1" s="969"/>
      <c r="HF1" s="969"/>
      <c r="HG1" s="92"/>
      <c r="HH1" s="969" t="s">
        <v>14</v>
      </c>
      <c r="HI1" s="969"/>
      <c r="HJ1" s="969"/>
      <c r="HK1" s="969"/>
      <c r="HL1" s="969"/>
      <c r="HM1" s="969"/>
      <c r="HN1" s="969"/>
      <c r="HO1" s="969"/>
      <c r="HP1" s="969"/>
      <c r="HQ1" s="969"/>
      <c r="HR1" s="969"/>
      <c r="HS1" s="969"/>
      <c r="HT1" s="95"/>
      <c r="HV1" s="993" t="s">
        <v>15</v>
      </c>
      <c r="HW1" s="993"/>
      <c r="HX1" s="993"/>
      <c r="HY1" s="993"/>
      <c r="HZ1" s="993"/>
      <c r="IA1" s="993"/>
      <c r="IB1" s="993"/>
      <c r="IC1" s="993"/>
      <c r="ID1" s="993"/>
      <c r="IE1" s="993"/>
      <c r="IF1" s="993"/>
      <c r="IG1" s="993"/>
      <c r="II1" s="92"/>
      <c r="IJ1" s="91"/>
      <c r="IK1" s="985" t="s">
        <v>16</v>
      </c>
      <c r="IL1" s="985"/>
      <c r="IM1" s="985"/>
      <c r="IN1" s="985"/>
      <c r="IO1" s="985"/>
      <c r="IP1" s="985"/>
      <c r="IQ1" s="985"/>
      <c r="IR1" s="985"/>
      <c r="IS1" s="985"/>
      <c r="IT1" s="985"/>
      <c r="IU1" s="985"/>
      <c r="IV1" s="985"/>
      <c r="IW1" s="985"/>
      <c r="IX1" s="91"/>
      <c r="IY1" s="92"/>
      <c r="IZ1" s="91"/>
      <c r="JA1" s="969" t="s">
        <v>17</v>
      </c>
      <c r="JB1" s="969"/>
      <c r="JC1" s="969"/>
      <c r="JD1" s="969"/>
      <c r="JE1" s="969"/>
      <c r="JF1" s="969"/>
      <c r="JG1" s="969"/>
      <c r="JH1" s="969"/>
      <c r="JI1" s="969"/>
      <c r="JJ1" s="969"/>
      <c r="JK1" s="969"/>
      <c r="JL1" s="969"/>
      <c r="JM1" s="969"/>
      <c r="JN1" s="969"/>
      <c r="JO1" s="969"/>
      <c r="JP1" s="969"/>
      <c r="JQ1" s="969"/>
      <c r="JR1" s="969"/>
      <c r="JS1" s="969"/>
      <c r="JT1" s="969"/>
      <c r="JU1" s="969"/>
      <c r="JV1" s="969"/>
      <c r="JW1" s="969"/>
      <c r="JX1" s="93"/>
      <c r="JY1" s="95"/>
      <c r="JZ1" s="91"/>
      <c r="KA1" s="985" t="s">
        <v>18</v>
      </c>
      <c r="KB1" s="985"/>
      <c r="KC1" s="985"/>
      <c r="KD1" s="985"/>
      <c r="KE1" s="985"/>
      <c r="KF1" s="985"/>
      <c r="KG1" s="985"/>
      <c r="KH1" s="985"/>
      <c r="KI1" s="985"/>
      <c r="KJ1" s="985"/>
      <c r="KK1" s="702"/>
      <c r="KL1" s="703"/>
      <c r="KM1" s="702"/>
      <c r="KN1" s="985" t="s">
        <v>19</v>
      </c>
      <c r="KO1" s="985"/>
      <c r="KP1" s="985"/>
      <c r="KQ1" s="985"/>
      <c r="KR1" s="985"/>
      <c r="KS1" s="985"/>
      <c r="KT1" s="985"/>
      <c r="KU1" s="985"/>
      <c r="KV1" s="985"/>
      <c r="KW1" s="985"/>
      <c r="KX1" s="985"/>
      <c r="KY1" s="985"/>
      <c r="KZ1" s="985"/>
      <c r="LA1" s="985"/>
      <c r="LB1" s="474"/>
      <c r="LC1" s="703"/>
      <c r="LD1" s="474"/>
      <c r="LE1" s="985" t="s">
        <v>20</v>
      </c>
      <c r="LF1" s="985"/>
      <c r="LG1" s="985"/>
      <c r="LH1" s="985"/>
      <c r="LI1" s="985"/>
      <c r="LJ1" s="985"/>
      <c r="LK1" s="985"/>
      <c r="LL1" s="985"/>
      <c r="LM1" s="985"/>
      <c r="LN1" s="985"/>
      <c r="LO1" s="985"/>
      <c r="LP1" s="985"/>
      <c r="LQ1" s="985"/>
      <c r="LR1" s="985"/>
      <c r="LS1" s="985"/>
      <c r="LT1" s="985"/>
      <c r="LU1" s="985"/>
      <c r="LV1" s="985"/>
      <c r="LW1" s="985"/>
      <c r="LX1" s="985"/>
      <c r="LY1" s="985"/>
      <c r="LZ1" s="985"/>
      <c r="MA1" s="895"/>
      <c r="MB1" s="704"/>
      <c r="MC1" s="702"/>
      <c r="MD1" s="985" t="s">
        <v>21</v>
      </c>
      <c r="ME1" s="985"/>
      <c r="MF1" s="985"/>
      <c r="MG1" s="985"/>
      <c r="MH1" s="985"/>
      <c r="MI1" s="985"/>
      <c r="MJ1" s="985"/>
      <c r="MK1" s="985"/>
      <c r="ML1" s="985"/>
      <c r="MM1" s="985"/>
      <c r="MN1" s="985"/>
      <c r="MO1" s="492"/>
      <c r="MP1" s="705"/>
      <c r="MQ1" s="492"/>
      <c r="MR1" s="985" t="s">
        <v>22</v>
      </c>
      <c r="MS1" s="985"/>
      <c r="MT1" s="985"/>
      <c r="MU1" s="492"/>
      <c r="MV1" s="705"/>
      <c r="MW1" s="492"/>
      <c r="MX1" s="987" t="s">
        <v>23</v>
      </c>
      <c r="MY1" s="987"/>
      <c r="MZ1" s="987"/>
      <c r="NA1" s="987"/>
      <c r="NB1" s="987"/>
      <c r="NC1" s="987"/>
      <c r="ND1" s="987"/>
      <c r="NE1" s="492"/>
      <c r="NF1" s="705"/>
      <c r="NG1" s="492"/>
      <c r="NH1" s="984" t="s">
        <v>24</v>
      </c>
      <c r="NI1" s="984"/>
      <c r="NJ1" s="984"/>
      <c r="NK1" s="984"/>
      <c r="NL1" s="984"/>
      <c r="NM1" s="984"/>
      <c r="NN1" s="492"/>
      <c r="NO1" s="705"/>
      <c r="NP1" s="492"/>
    </row>
    <row r="2" spans="2:387" x14ac:dyDescent="0.3">
      <c r="B2" s="99"/>
      <c r="C2" s="100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01"/>
      <c r="AK2" s="101"/>
      <c r="AM2" s="93"/>
      <c r="AO2" s="93"/>
      <c r="AP2" s="93"/>
      <c r="AQ2" s="93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1"/>
      <c r="EN2" s="105"/>
      <c r="EO2" s="106"/>
      <c r="FD2" s="105"/>
      <c r="FE2" s="106"/>
      <c r="FS2" s="93"/>
      <c r="GF2" s="93"/>
      <c r="GG2" s="95"/>
      <c r="GS2" s="93"/>
      <c r="GT2" s="95"/>
      <c r="HF2" s="93"/>
      <c r="HG2" s="95"/>
      <c r="HV2" s="993"/>
      <c r="HW2" s="993"/>
      <c r="HX2" s="993"/>
      <c r="HY2" s="993"/>
      <c r="HZ2" s="993"/>
      <c r="IA2" s="993"/>
      <c r="IB2" s="993"/>
      <c r="IC2" s="993"/>
      <c r="ID2" s="993"/>
      <c r="IE2" s="993"/>
      <c r="IF2" s="993"/>
      <c r="IG2" s="993"/>
      <c r="IH2" s="93"/>
      <c r="IK2" s="985"/>
      <c r="IL2" s="985"/>
      <c r="IM2" s="985"/>
      <c r="IN2" s="985"/>
      <c r="IO2" s="985"/>
      <c r="IP2" s="985"/>
      <c r="IQ2" s="985"/>
      <c r="IR2" s="985"/>
      <c r="IS2" s="985"/>
      <c r="IT2" s="985"/>
      <c r="IU2" s="985"/>
      <c r="IV2" s="985"/>
      <c r="IW2" s="985"/>
      <c r="JZ2" s="108"/>
      <c r="KA2" s="986"/>
      <c r="KB2" s="986"/>
      <c r="KC2" s="986"/>
      <c r="KD2" s="986"/>
      <c r="KE2" s="986"/>
      <c r="KF2" s="986"/>
      <c r="KG2" s="986"/>
      <c r="KH2" s="986"/>
      <c r="KI2" s="986"/>
      <c r="KJ2" s="986"/>
      <c r="KK2" s="702"/>
      <c r="KL2" s="706"/>
      <c r="KM2" s="702"/>
      <c r="KN2" s="985"/>
      <c r="KO2" s="985"/>
      <c r="KP2" s="985"/>
      <c r="KQ2" s="985"/>
      <c r="KR2" s="985"/>
      <c r="KS2" s="985"/>
      <c r="KT2" s="985"/>
      <c r="KU2" s="985"/>
      <c r="KV2" s="985"/>
      <c r="KW2" s="985"/>
      <c r="KX2" s="985"/>
      <c r="KY2" s="985"/>
      <c r="KZ2" s="985"/>
      <c r="LA2" s="985"/>
      <c r="LB2" s="707"/>
      <c r="LC2" s="708"/>
      <c r="LD2" s="707"/>
      <c r="LE2" s="985"/>
      <c r="LF2" s="985"/>
      <c r="LG2" s="985"/>
      <c r="LH2" s="985"/>
      <c r="LI2" s="985"/>
      <c r="LJ2" s="985"/>
      <c r="LK2" s="985"/>
      <c r="LL2" s="985"/>
      <c r="LM2" s="985"/>
      <c r="LN2" s="985"/>
      <c r="LO2" s="985"/>
      <c r="LP2" s="985"/>
      <c r="LQ2" s="985"/>
      <c r="LR2" s="985"/>
      <c r="LS2" s="985"/>
      <c r="LT2" s="985"/>
      <c r="LU2" s="985"/>
      <c r="LV2" s="985"/>
      <c r="LW2" s="985"/>
      <c r="LX2" s="985"/>
      <c r="LY2" s="985"/>
      <c r="LZ2" s="985"/>
      <c r="MA2" s="709"/>
      <c r="MB2" s="710"/>
      <c r="MC2" s="702"/>
      <c r="MD2" s="985"/>
      <c r="ME2" s="985"/>
      <c r="MF2" s="985"/>
      <c r="MG2" s="985"/>
      <c r="MH2" s="985"/>
      <c r="MI2" s="985"/>
      <c r="MJ2" s="985"/>
      <c r="MK2" s="985"/>
      <c r="ML2" s="985"/>
      <c r="MM2" s="985"/>
      <c r="MN2" s="985"/>
      <c r="MO2" s="702"/>
      <c r="MP2" s="703"/>
      <c r="MQ2" s="474"/>
      <c r="MR2" s="985"/>
      <c r="MS2" s="985"/>
      <c r="MT2" s="985"/>
      <c r="MU2" s="474"/>
      <c r="MV2" s="703"/>
      <c r="MW2" s="474"/>
      <c r="MX2" s="987"/>
      <c r="MY2" s="987"/>
      <c r="MZ2" s="987"/>
      <c r="NA2" s="987"/>
      <c r="NB2" s="987"/>
      <c r="NC2" s="987"/>
      <c r="ND2" s="987"/>
      <c r="NE2" s="702"/>
      <c r="NF2" s="703"/>
      <c r="NG2" s="474"/>
      <c r="NH2" s="984"/>
      <c r="NI2" s="984"/>
      <c r="NJ2" s="984"/>
      <c r="NK2" s="984"/>
      <c r="NL2" s="984"/>
      <c r="NM2" s="984"/>
      <c r="NN2" s="702"/>
      <c r="NO2" s="703"/>
      <c r="NP2" s="474"/>
    </row>
    <row r="3" spans="2:387" ht="16.5" customHeight="1" x14ac:dyDescent="0.3">
      <c r="B3" s="89"/>
      <c r="C3" s="89"/>
      <c r="D3" s="89"/>
      <c r="E3" s="89"/>
      <c r="F3" s="988" t="s">
        <v>25</v>
      </c>
      <c r="G3" s="989"/>
      <c r="H3" s="988" t="s">
        <v>26</v>
      </c>
      <c r="I3" s="990"/>
      <c r="J3" s="989"/>
      <c r="K3" s="988" t="s">
        <v>27</v>
      </c>
      <c r="L3" s="990"/>
      <c r="M3" s="989"/>
      <c r="N3" s="988" t="s">
        <v>28</v>
      </c>
      <c r="O3" s="990"/>
      <c r="P3" s="989"/>
      <c r="Q3" s="988" t="s">
        <v>29</v>
      </c>
      <c r="R3" s="990"/>
      <c r="S3" s="111"/>
      <c r="T3" s="112"/>
      <c r="U3" s="113"/>
      <c r="V3" s="114"/>
      <c r="W3" s="114"/>
      <c r="X3" s="114"/>
      <c r="Y3" s="114"/>
      <c r="Z3" s="114"/>
      <c r="AA3" s="114"/>
      <c r="AD3" s="112"/>
      <c r="AF3" s="114"/>
      <c r="AG3" s="114"/>
      <c r="AH3" s="114"/>
      <c r="AI3" s="114"/>
      <c r="AJ3" s="114"/>
      <c r="AK3" s="115"/>
      <c r="AN3" s="116"/>
      <c r="AO3" s="117"/>
      <c r="AP3" s="118"/>
      <c r="AQ3" s="117"/>
      <c r="AR3" s="119"/>
      <c r="AS3" s="991" t="s">
        <v>30</v>
      </c>
      <c r="AT3" s="992"/>
      <c r="AU3" s="117"/>
      <c r="AV3" s="991" t="s">
        <v>31</v>
      </c>
      <c r="AW3" s="992"/>
      <c r="AX3" s="992"/>
      <c r="AY3" s="117"/>
      <c r="AZ3" s="991" t="s">
        <v>32</v>
      </c>
      <c r="BA3" s="992"/>
      <c r="BB3" s="992"/>
      <c r="BC3" s="117"/>
      <c r="BD3" s="991" t="s">
        <v>33</v>
      </c>
      <c r="BE3" s="992"/>
      <c r="BF3" s="992"/>
      <c r="BG3" s="117"/>
      <c r="BH3" s="991" t="s">
        <v>34</v>
      </c>
      <c r="BI3" s="992"/>
      <c r="BJ3" s="992"/>
      <c r="BK3" s="117"/>
      <c r="BL3" s="991" t="s">
        <v>35</v>
      </c>
      <c r="BM3" s="992"/>
      <c r="BN3" s="992"/>
      <c r="BO3" s="117"/>
      <c r="BP3" s="991" t="s">
        <v>36</v>
      </c>
      <c r="BQ3" s="992"/>
      <c r="BR3" s="992"/>
      <c r="BS3" s="117"/>
      <c r="BT3" s="991" t="s">
        <v>37</v>
      </c>
      <c r="BU3" s="992"/>
      <c r="BV3" s="992"/>
      <c r="BW3" s="992" t="s">
        <v>38</v>
      </c>
      <c r="BX3" s="992"/>
      <c r="BY3" s="994"/>
      <c r="BZ3" s="991" t="s">
        <v>39</v>
      </c>
      <c r="CA3" s="992"/>
      <c r="CB3" s="994"/>
      <c r="CC3" s="991" t="s">
        <v>25</v>
      </c>
      <c r="CD3" s="992"/>
      <c r="CE3" s="994"/>
      <c r="CF3" s="966" t="s">
        <v>40</v>
      </c>
      <c r="CG3" s="968"/>
      <c r="CK3" s="120"/>
      <c r="CL3" s="121"/>
      <c r="CM3" s="973" t="str">
        <f>F3</f>
        <v>2022 Fiscal Year As Accepted</v>
      </c>
      <c r="CN3" s="974"/>
      <c r="CO3" s="974"/>
      <c r="CP3" s="975"/>
      <c r="CQ3" s="973" t="str">
        <f>H3</f>
        <v>2022 Fiscal Year As Adjusted</v>
      </c>
      <c r="CR3" s="974"/>
      <c r="CS3" s="974"/>
      <c r="CT3" s="975"/>
      <c r="CU3" s="101"/>
      <c r="CX3" s="117"/>
      <c r="CY3" s="122"/>
      <c r="CZ3" s="973" t="str">
        <f>CM3</f>
        <v>2022 Fiscal Year As Accepted</v>
      </c>
      <c r="DA3" s="975"/>
      <c r="DB3" s="973" t="str">
        <f>CQ3</f>
        <v>2022 Fiscal Year As Adjusted</v>
      </c>
      <c r="DC3" s="974"/>
      <c r="DD3" s="975"/>
      <c r="DH3" s="123"/>
      <c r="DI3" s="124"/>
      <c r="DJ3" s="973" t="str">
        <f>CZ3</f>
        <v>2022 Fiscal Year As Accepted</v>
      </c>
      <c r="DK3" s="975"/>
      <c r="DL3" s="973" t="str">
        <f>DB3</f>
        <v>2022 Fiscal Year As Adjusted</v>
      </c>
      <c r="DM3" s="975"/>
      <c r="DQ3" s="117"/>
      <c r="DR3" s="125"/>
      <c r="DS3" s="992" t="str">
        <f>CZ3</f>
        <v>2022 Fiscal Year As Accepted</v>
      </c>
      <c r="DT3" s="992"/>
      <c r="DU3" s="992"/>
      <c r="DV3" s="994"/>
      <c r="DW3" s="991" t="str">
        <f>DB3</f>
        <v>2022 Fiscal Year As Adjusted</v>
      </c>
      <c r="DX3" s="992"/>
      <c r="DY3" s="992"/>
      <c r="DZ3" s="994"/>
      <c r="EB3" s="126"/>
      <c r="ED3" s="117"/>
      <c r="EE3" s="117"/>
      <c r="EF3" s="991" t="str">
        <f>DS3</f>
        <v>2022 Fiscal Year As Accepted</v>
      </c>
      <c r="EG3" s="992"/>
      <c r="EH3" s="992"/>
      <c r="EI3" s="994"/>
      <c r="EJ3" s="991" t="str">
        <f>DW3</f>
        <v>2022 Fiscal Year As Adjusted</v>
      </c>
      <c r="EK3" s="992"/>
      <c r="EL3" s="992"/>
      <c r="EM3" s="994"/>
      <c r="EN3" s="101"/>
      <c r="EO3" s="127"/>
      <c r="EQ3" s="117"/>
      <c r="ER3" s="119"/>
      <c r="ES3" s="991" t="str">
        <f>EF3</f>
        <v>2022 Fiscal Year As Accepted</v>
      </c>
      <c r="ET3" s="992"/>
      <c r="EU3" s="992"/>
      <c r="EV3" s="994"/>
      <c r="EW3" s="991" t="str">
        <f>EJ3</f>
        <v>2022 Fiscal Year As Adjusted</v>
      </c>
      <c r="EX3" s="992"/>
      <c r="EY3" s="992"/>
      <c r="EZ3" s="994"/>
      <c r="FA3" s="991" t="s">
        <v>41</v>
      </c>
      <c r="FB3" s="992"/>
      <c r="FC3" s="994"/>
      <c r="FD3" s="101"/>
      <c r="FE3" s="127"/>
      <c r="FG3" s="117"/>
      <c r="FH3" s="117"/>
      <c r="FI3" s="117"/>
      <c r="FJ3" s="995" t="str">
        <f>EF3</f>
        <v>2022 Fiscal Year As Accepted</v>
      </c>
      <c r="FK3" s="996"/>
      <c r="FL3" s="996"/>
      <c r="FM3" s="997"/>
      <c r="FN3" s="995" t="str">
        <f>EJ3</f>
        <v>2022 Fiscal Year As Adjusted</v>
      </c>
      <c r="FO3" s="996"/>
      <c r="FP3" s="996"/>
      <c r="FQ3" s="996"/>
      <c r="FR3" s="997"/>
      <c r="FS3" s="93"/>
      <c r="FT3" s="95"/>
      <c r="FV3" s="116"/>
      <c r="FW3" s="117"/>
      <c r="FX3" s="973" t="str">
        <f>FJ3</f>
        <v>2022 Fiscal Year As Accepted</v>
      </c>
      <c r="FY3" s="974"/>
      <c r="FZ3" s="974"/>
      <c r="GA3" s="975"/>
      <c r="GB3" s="973" t="str">
        <f>FN3</f>
        <v>2022 Fiscal Year As Adjusted</v>
      </c>
      <c r="GC3" s="974"/>
      <c r="GD3" s="974"/>
      <c r="GE3" s="975"/>
      <c r="GF3" s="101"/>
      <c r="GG3" s="128"/>
      <c r="GI3" s="116"/>
      <c r="GJ3" s="117"/>
      <c r="GK3" s="973" t="str">
        <f>FX3</f>
        <v>2022 Fiscal Year As Accepted</v>
      </c>
      <c r="GL3" s="974"/>
      <c r="GM3" s="974"/>
      <c r="GN3" s="975"/>
      <c r="GO3" s="973" t="str">
        <f>GB3</f>
        <v>2022 Fiscal Year As Adjusted</v>
      </c>
      <c r="GP3" s="974"/>
      <c r="GQ3" s="974"/>
      <c r="GR3" s="974"/>
      <c r="GS3" s="101"/>
      <c r="GT3" s="128"/>
      <c r="GV3" s="116"/>
      <c r="GW3" s="117"/>
      <c r="GX3" s="995" t="str">
        <f>FJ3</f>
        <v>2022 Fiscal Year As Accepted</v>
      </c>
      <c r="GY3" s="996"/>
      <c r="GZ3" s="996"/>
      <c r="HA3" s="997"/>
      <c r="HB3" s="973" t="str">
        <f>FN3</f>
        <v>2022 Fiscal Year As Adjusted</v>
      </c>
      <c r="HC3" s="974"/>
      <c r="HD3" s="974"/>
      <c r="HE3" s="975"/>
      <c r="HF3" s="101"/>
      <c r="HG3" s="128"/>
      <c r="HI3" s="117"/>
      <c r="HJ3" s="117"/>
      <c r="HK3" s="970" t="str">
        <f>GX3</f>
        <v>2022 Fiscal Year As Accepted</v>
      </c>
      <c r="HL3" s="971"/>
      <c r="HM3" s="971"/>
      <c r="HN3" s="972"/>
      <c r="HO3" s="970" t="str">
        <f>HB3</f>
        <v>2022 Fiscal Year As Adjusted</v>
      </c>
      <c r="HP3" s="971"/>
      <c r="HQ3" s="971"/>
      <c r="HR3" s="972"/>
      <c r="HV3" s="101"/>
      <c r="HW3" s="129"/>
      <c r="HX3" s="130"/>
      <c r="HY3" s="130"/>
      <c r="HZ3" s="130"/>
      <c r="IA3" s="130"/>
      <c r="IB3" s="130"/>
      <c r="IC3" s="131"/>
      <c r="ID3" s="130"/>
      <c r="IE3" s="130"/>
      <c r="IF3" s="130"/>
      <c r="IG3" s="130"/>
      <c r="IH3" s="132"/>
      <c r="IJ3" s="132"/>
      <c r="IK3" s="897"/>
      <c r="IL3" s="133"/>
      <c r="IM3" s="133"/>
      <c r="IN3" s="966" t="s">
        <v>42</v>
      </c>
      <c r="IO3" s="967"/>
      <c r="IP3" s="966" t="s">
        <v>43</v>
      </c>
      <c r="IQ3" s="967"/>
      <c r="IR3" s="966" t="s">
        <v>44</v>
      </c>
      <c r="IS3" s="967"/>
      <c r="IT3" s="966" t="s">
        <v>45</v>
      </c>
      <c r="IU3" s="967"/>
      <c r="IV3" s="966" t="s">
        <v>46</v>
      </c>
      <c r="IW3" s="968"/>
      <c r="IX3" s="109"/>
      <c r="IY3" s="110"/>
      <c r="IZ3" s="109"/>
      <c r="JA3" s="117"/>
      <c r="JB3" s="134"/>
      <c r="JC3" s="134"/>
      <c r="JD3" s="134"/>
      <c r="JE3" s="978" t="s">
        <v>47</v>
      </c>
      <c r="JF3" s="979"/>
      <c r="JG3" s="978" t="s">
        <v>48</v>
      </c>
      <c r="JH3" s="979"/>
      <c r="JI3" s="978" t="s">
        <v>49</v>
      </c>
      <c r="JJ3" s="979"/>
      <c r="JK3" s="978" t="s">
        <v>50</v>
      </c>
      <c r="JL3" s="979"/>
      <c r="JM3" s="978" t="s">
        <v>51</v>
      </c>
      <c r="JN3" s="979"/>
      <c r="JO3" s="978" t="s">
        <v>52</v>
      </c>
      <c r="JP3" s="979"/>
      <c r="JQ3" s="978" t="s">
        <v>53</v>
      </c>
      <c r="JR3" s="979"/>
      <c r="JS3" s="978" t="s">
        <v>54</v>
      </c>
      <c r="JT3" s="979"/>
      <c r="JU3" s="978" t="s">
        <v>55</v>
      </c>
      <c r="JV3" s="980"/>
      <c r="JW3" s="980"/>
      <c r="JX3" s="132"/>
      <c r="JY3" s="135"/>
      <c r="JZ3" s="108"/>
      <c r="KA3" s="136"/>
      <c r="KB3" s="137"/>
      <c r="KC3" s="137"/>
      <c r="KD3" s="137"/>
      <c r="KE3" s="137"/>
      <c r="KF3" s="137"/>
      <c r="KG3" s="137"/>
      <c r="KH3" s="137"/>
      <c r="KI3" s="137"/>
      <c r="KJ3" s="137"/>
      <c r="KK3" s="109"/>
      <c r="KL3" s="110"/>
      <c r="KM3" s="138"/>
      <c r="KN3" s="139"/>
      <c r="KO3" s="133"/>
      <c r="KP3" s="133"/>
      <c r="KQ3" s="140"/>
      <c r="KR3" s="966" t="s">
        <v>42</v>
      </c>
      <c r="KS3" s="967"/>
      <c r="KT3" s="966" t="s">
        <v>43</v>
      </c>
      <c r="KU3" s="967"/>
      <c r="KV3" s="966" t="s">
        <v>56</v>
      </c>
      <c r="KW3" s="967"/>
      <c r="KX3" s="966" t="s">
        <v>57</v>
      </c>
      <c r="KY3" s="967"/>
      <c r="KZ3" s="966" t="s">
        <v>46</v>
      </c>
      <c r="LA3" s="968"/>
      <c r="LB3" s="138"/>
      <c r="LC3" s="141"/>
      <c r="LD3" s="138"/>
      <c r="LE3" s="142"/>
      <c r="LF3" s="133"/>
      <c r="LG3" s="133"/>
      <c r="LH3" s="133"/>
      <c r="LI3" s="966" t="s">
        <v>47</v>
      </c>
      <c r="LJ3" s="967"/>
      <c r="LK3" s="966" t="s">
        <v>58</v>
      </c>
      <c r="LL3" s="967"/>
      <c r="LM3" s="966" t="s">
        <v>49</v>
      </c>
      <c r="LN3" s="967"/>
      <c r="LO3" s="966" t="s">
        <v>50</v>
      </c>
      <c r="LP3" s="967"/>
      <c r="LQ3" s="966" t="s">
        <v>51</v>
      </c>
      <c r="LR3" s="967"/>
      <c r="LS3" s="966" t="s">
        <v>52</v>
      </c>
      <c r="LT3" s="967"/>
      <c r="LU3" s="966" t="s">
        <v>53</v>
      </c>
      <c r="LV3" s="967"/>
      <c r="LW3" s="966" t="s">
        <v>54</v>
      </c>
      <c r="LX3" s="967"/>
      <c r="LY3" s="966" t="s">
        <v>59</v>
      </c>
      <c r="LZ3" s="968"/>
      <c r="MA3" s="108"/>
      <c r="MB3" s="143"/>
      <c r="MD3" s="117"/>
      <c r="ME3" s="896"/>
      <c r="MF3" s="966" t="s">
        <v>46</v>
      </c>
      <c r="MG3" s="968"/>
      <c r="MH3" s="967"/>
      <c r="MI3" s="966" t="s">
        <v>60</v>
      </c>
      <c r="MJ3" s="968"/>
      <c r="MK3" s="967"/>
      <c r="ML3" s="966" t="s">
        <v>61</v>
      </c>
      <c r="MM3" s="968"/>
      <c r="MN3" s="967"/>
      <c r="MP3" s="95"/>
      <c r="MQ3" s="93"/>
      <c r="MR3" s="144"/>
      <c r="MS3" s="144"/>
      <c r="MT3" s="144"/>
      <c r="MU3" s="93"/>
      <c r="MV3" s="95"/>
      <c r="MW3" s="93"/>
      <c r="MX3" s="145"/>
      <c r="MY3" s="145"/>
      <c r="MZ3" s="114"/>
      <c r="NA3" s="114"/>
      <c r="NB3" s="114"/>
      <c r="NC3" s="114"/>
      <c r="ND3" s="114"/>
      <c r="NF3" s="95"/>
      <c r="NG3" s="93"/>
      <c r="NH3" s="145"/>
      <c r="NI3" s="114"/>
      <c r="NJ3" s="114"/>
      <c r="NK3" s="114"/>
      <c r="NL3" s="114"/>
      <c r="NM3" s="114"/>
      <c r="NO3" s="95"/>
      <c r="NP3" s="93"/>
    </row>
    <row r="4" spans="2:387" ht="49.5" customHeight="1" x14ac:dyDescent="0.3">
      <c r="B4" s="147"/>
      <c r="C4" s="148"/>
      <c r="D4" s="148"/>
      <c r="E4" s="148"/>
      <c r="F4" s="90" t="s">
        <v>62</v>
      </c>
      <c r="G4" s="149" t="s">
        <v>63</v>
      </c>
      <c r="H4" s="90" t="s">
        <v>62</v>
      </c>
      <c r="I4" s="150" t="s">
        <v>63</v>
      </c>
      <c r="J4" s="149" t="s">
        <v>64</v>
      </c>
      <c r="K4" s="90" t="s">
        <v>62</v>
      </c>
      <c r="L4" s="150" t="s">
        <v>63</v>
      </c>
      <c r="M4" s="149" t="s">
        <v>65</v>
      </c>
      <c r="N4" s="90" t="s">
        <v>62</v>
      </c>
      <c r="O4" s="150" t="s">
        <v>63</v>
      </c>
      <c r="P4" s="149" t="s">
        <v>66</v>
      </c>
      <c r="Q4" s="151" t="s">
        <v>67</v>
      </c>
      <c r="R4" s="150" t="s">
        <v>68</v>
      </c>
      <c r="S4" s="132"/>
      <c r="T4" s="152"/>
      <c r="U4" s="153"/>
      <c r="V4" s="154"/>
      <c r="W4" s="154"/>
      <c r="X4" s="155" t="s">
        <v>69</v>
      </c>
      <c r="Y4" s="155" t="s">
        <v>70</v>
      </c>
      <c r="Z4" s="155" t="s">
        <v>71</v>
      </c>
      <c r="AA4" s="155" t="s">
        <v>72</v>
      </c>
      <c r="AB4" s="156"/>
      <c r="AC4" s="146"/>
      <c r="AD4" s="152"/>
      <c r="AE4" s="146"/>
      <c r="AF4" s="148"/>
      <c r="AG4" s="148"/>
      <c r="AH4" s="147" t="str">
        <f>D14</f>
        <v>Direct Labour</v>
      </c>
      <c r="AI4" s="147" t="str">
        <f>D15</f>
        <v>Collector Labour</v>
      </c>
      <c r="AJ4" s="147" t="str">
        <f>D16</f>
        <v>Overhead Labour</v>
      </c>
      <c r="AK4" s="153"/>
      <c r="AL4" s="152"/>
      <c r="AM4" s="146"/>
      <c r="AN4" s="155"/>
      <c r="AO4" s="158"/>
      <c r="AP4" s="158"/>
      <c r="AQ4" s="158"/>
      <c r="AR4" s="158"/>
      <c r="AS4" s="159" t="s">
        <v>62</v>
      </c>
      <c r="AT4" s="160" t="s">
        <v>73</v>
      </c>
      <c r="AU4" s="155"/>
      <c r="AV4" s="159" t="s">
        <v>62</v>
      </c>
      <c r="AW4" s="160" t="s">
        <v>73</v>
      </c>
      <c r="AX4" s="160" t="s">
        <v>74</v>
      </c>
      <c r="AY4" s="155"/>
      <c r="AZ4" s="159" t="s">
        <v>62</v>
      </c>
      <c r="BA4" s="160" t="s">
        <v>73</v>
      </c>
      <c r="BB4" s="160" t="s">
        <v>74</v>
      </c>
      <c r="BC4" s="155"/>
      <c r="BD4" s="159" t="s">
        <v>62</v>
      </c>
      <c r="BE4" s="160" t="s">
        <v>73</v>
      </c>
      <c r="BF4" s="160" t="s">
        <v>74</v>
      </c>
      <c r="BG4" s="155"/>
      <c r="BH4" s="159" t="s">
        <v>62</v>
      </c>
      <c r="BI4" s="160" t="s">
        <v>73</v>
      </c>
      <c r="BJ4" s="160" t="s">
        <v>74</v>
      </c>
      <c r="BK4" s="155"/>
      <c r="BL4" s="159" t="s">
        <v>62</v>
      </c>
      <c r="BM4" s="160" t="s">
        <v>73</v>
      </c>
      <c r="BN4" s="160" t="s">
        <v>74</v>
      </c>
      <c r="BO4" s="155"/>
      <c r="BP4" s="159" t="s">
        <v>62</v>
      </c>
      <c r="BQ4" s="160" t="s">
        <v>73</v>
      </c>
      <c r="BR4" s="160" t="s">
        <v>74</v>
      </c>
      <c r="BS4" s="155"/>
      <c r="BT4" s="159" t="s">
        <v>62</v>
      </c>
      <c r="BU4" s="160" t="s">
        <v>73</v>
      </c>
      <c r="BV4" s="160" t="s">
        <v>75</v>
      </c>
      <c r="BW4" s="159" t="s">
        <v>62</v>
      </c>
      <c r="BX4" s="160" t="s">
        <v>73</v>
      </c>
      <c r="BY4" s="160" t="s">
        <v>75</v>
      </c>
      <c r="BZ4" s="159" t="s">
        <v>62</v>
      </c>
      <c r="CA4" s="160" t="s">
        <v>73</v>
      </c>
      <c r="CB4" s="160" t="s">
        <v>75</v>
      </c>
      <c r="CC4" s="159" t="s">
        <v>62</v>
      </c>
      <c r="CD4" s="160" t="s">
        <v>73</v>
      </c>
      <c r="CE4" s="160" t="s">
        <v>75</v>
      </c>
      <c r="CF4" s="161" t="s">
        <v>76</v>
      </c>
      <c r="CG4" s="160" t="s">
        <v>77</v>
      </c>
      <c r="CH4" s="146"/>
      <c r="CI4" s="157"/>
      <c r="CJ4" s="146"/>
      <c r="CK4" s="162"/>
      <c r="CL4" s="163"/>
      <c r="CM4" s="164" t="s">
        <v>78</v>
      </c>
      <c r="CN4" s="165" t="s">
        <v>79</v>
      </c>
      <c r="CO4" s="147" t="s">
        <v>80</v>
      </c>
      <c r="CP4" s="166" t="s">
        <v>72</v>
      </c>
      <c r="CQ4" s="164" t="s">
        <v>78</v>
      </c>
      <c r="CR4" s="165" t="s">
        <v>79</v>
      </c>
      <c r="CS4" s="147" t="s">
        <v>80</v>
      </c>
      <c r="CT4" s="166" t="s">
        <v>72</v>
      </c>
      <c r="CU4" s="167"/>
      <c r="CV4" s="157"/>
      <c r="CW4" s="146"/>
      <c r="CX4" s="147"/>
      <c r="CY4" s="165" t="s">
        <v>81</v>
      </c>
      <c r="CZ4" s="164" t="s">
        <v>82</v>
      </c>
      <c r="DA4" s="168" t="s">
        <v>83</v>
      </c>
      <c r="DB4" s="164" t="s">
        <v>82</v>
      </c>
      <c r="DC4" s="169" t="s">
        <v>83</v>
      </c>
      <c r="DD4" s="170" t="s">
        <v>84</v>
      </c>
      <c r="DE4" s="146"/>
      <c r="DF4" s="157"/>
      <c r="DG4" s="146"/>
      <c r="DH4" s="147"/>
      <c r="DI4" s="165" t="s">
        <v>81</v>
      </c>
      <c r="DJ4" s="164" t="s">
        <v>82</v>
      </c>
      <c r="DK4" s="168" t="s">
        <v>83</v>
      </c>
      <c r="DL4" s="164" t="s">
        <v>82</v>
      </c>
      <c r="DM4" s="168" t="s">
        <v>83</v>
      </c>
      <c r="DN4" s="146"/>
      <c r="DO4" s="157"/>
      <c r="DP4" s="146"/>
      <c r="DQ4" s="147"/>
      <c r="DR4" s="171"/>
      <c r="DS4" s="147" t="s">
        <v>69</v>
      </c>
      <c r="DT4" s="147" t="s">
        <v>70</v>
      </c>
      <c r="DU4" s="147" t="s">
        <v>71</v>
      </c>
      <c r="DV4" s="172" t="s">
        <v>72</v>
      </c>
      <c r="DW4" s="164" t="s">
        <v>69</v>
      </c>
      <c r="DX4" s="147" t="s">
        <v>70</v>
      </c>
      <c r="DY4" s="147" t="s">
        <v>71</v>
      </c>
      <c r="DZ4" s="173" t="s">
        <v>72</v>
      </c>
      <c r="EA4" s="174"/>
      <c r="EB4" s="157"/>
      <c r="EC4" s="146"/>
      <c r="ED4" s="148"/>
      <c r="EE4" s="148"/>
      <c r="EF4" s="175" t="s">
        <v>69</v>
      </c>
      <c r="EG4" s="176" t="s">
        <v>70</v>
      </c>
      <c r="EH4" s="176" t="s">
        <v>71</v>
      </c>
      <c r="EI4" s="177" t="s">
        <v>72</v>
      </c>
      <c r="EJ4" s="175" t="s">
        <v>69</v>
      </c>
      <c r="EK4" s="176" t="s">
        <v>70</v>
      </c>
      <c r="EL4" s="176" t="s">
        <v>71</v>
      </c>
      <c r="EM4" s="177" t="s">
        <v>72</v>
      </c>
      <c r="EN4" s="178"/>
      <c r="EO4" s="179"/>
      <c r="EP4" s="146"/>
      <c r="EQ4" s="148"/>
      <c r="ER4" s="180"/>
      <c r="ES4" s="176" t="s">
        <v>69</v>
      </c>
      <c r="ET4" s="176" t="s">
        <v>70</v>
      </c>
      <c r="EU4" s="176" t="s">
        <v>71</v>
      </c>
      <c r="EV4" s="177" t="s">
        <v>72</v>
      </c>
      <c r="EW4" s="176" t="s">
        <v>69</v>
      </c>
      <c r="EX4" s="176" t="s">
        <v>70</v>
      </c>
      <c r="EY4" s="176" t="s">
        <v>71</v>
      </c>
      <c r="EZ4" s="177" t="s">
        <v>72</v>
      </c>
      <c r="FA4" s="181" t="s">
        <v>85</v>
      </c>
      <c r="FB4" s="181" t="s">
        <v>86</v>
      </c>
      <c r="FC4" s="182" t="s">
        <v>87</v>
      </c>
      <c r="FD4" s="178"/>
      <c r="FE4" s="179"/>
      <c r="FF4" s="146"/>
      <c r="FG4" s="158"/>
      <c r="FH4" s="158"/>
      <c r="FI4" s="183"/>
      <c r="FJ4" s="164" t="s">
        <v>69</v>
      </c>
      <c r="FK4" s="147" t="s">
        <v>70</v>
      </c>
      <c r="FL4" s="147" t="s">
        <v>71</v>
      </c>
      <c r="FM4" s="184" t="s">
        <v>72</v>
      </c>
      <c r="FN4" s="164" t="str">
        <f>FJ4</f>
        <v>Small</v>
      </c>
      <c r="FO4" s="147" t="s">
        <v>70</v>
      </c>
      <c r="FP4" s="147" t="str">
        <f>FL4</f>
        <v>Large</v>
      </c>
      <c r="FQ4" s="147" t="s">
        <v>72</v>
      </c>
      <c r="FR4" s="166" t="s">
        <v>88</v>
      </c>
      <c r="FS4" s="185"/>
      <c r="FT4" s="186"/>
      <c r="FU4" s="146"/>
      <c r="FV4" s="155"/>
      <c r="FW4" s="187"/>
      <c r="FX4" s="147" t="s">
        <v>69</v>
      </c>
      <c r="FY4" s="147" t="s">
        <v>70</v>
      </c>
      <c r="FZ4" s="147" t="s">
        <v>71</v>
      </c>
      <c r="GA4" s="184" t="s">
        <v>89</v>
      </c>
      <c r="GB4" s="147" t="s">
        <v>69</v>
      </c>
      <c r="GC4" s="147" t="s">
        <v>70</v>
      </c>
      <c r="GD4" s="147" t="s">
        <v>71</v>
      </c>
      <c r="GE4" s="184" t="s">
        <v>89</v>
      </c>
      <c r="GF4" s="188"/>
      <c r="GG4" s="189"/>
      <c r="GH4" s="146"/>
      <c r="GI4" s="155"/>
      <c r="GJ4" s="187"/>
      <c r="GK4" s="147" t="s">
        <v>69</v>
      </c>
      <c r="GL4" s="147" t="s">
        <v>70</v>
      </c>
      <c r="GM4" s="147" t="s">
        <v>71</v>
      </c>
      <c r="GN4" s="184" t="s">
        <v>89</v>
      </c>
      <c r="GO4" s="147" t="s">
        <v>69</v>
      </c>
      <c r="GP4" s="147" t="s">
        <v>70</v>
      </c>
      <c r="GQ4" s="147" t="s">
        <v>71</v>
      </c>
      <c r="GR4" s="184" t="s">
        <v>89</v>
      </c>
      <c r="GS4" s="188"/>
      <c r="GT4" s="189"/>
      <c r="GU4" s="146"/>
      <c r="GV4" s="155"/>
      <c r="GW4" s="187"/>
      <c r="GX4" s="147" t="s">
        <v>69</v>
      </c>
      <c r="GY4" s="147" t="s">
        <v>70</v>
      </c>
      <c r="GZ4" s="147" t="s">
        <v>71</v>
      </c>
      <c r="HA4" s="184" t="s">
        <v>89</v>
      </c>
      <c r="HB4" s="164" t="s">
        <v>69</v>
      </c>
      <c r="HC4" s="147" t="s">
        <v>70</v>
      </c>
      <c r="HD4" s="147" t="s">
        <v>71</v>
      </c>
      <c r="HE4" s="184" t="s">
        <v>89</v>
      </c>
      <c r="HF4" s="188"/>
      <c r="HG4" s="189"/>
      <c r="HH4" s="146"/>
      <c r="HI4" s="155"/>
      <c r="HJ4" s="183"/>
      <c r="HK4" s="164" t="s">
        <v>69</v>
      </c>
      <c r="HL4" s="147" t="s">
        <v>70</v>
      </c>
      <c r="HM4" s="147" t="s">
        <v>71</v>
      </c>
      <c r="HN4" s="184" t="s">
        <v>72</v>
      </c>
      <c r="HO4" s="164" t="s">
        <v>69</v>
      </c>
      <c r="HP4" s="147" t="s">
        <v>70</v>
      </c>
      <c r="HQ4" s="147" t="s">
        <v>71</v>
      </c>
      <c r="HR4" s="184" t="s">
        <v>72</v>
      </c>
      <c r="HS4" s="146"/>
      <c r="HT4" s="157"/>
      <c r="HU4" s="146"/>
      <c r="HV4" s="146"/>
      <c r="HW4" s="190"/>
      <c r="HX4" s="160" t="s">
        <v>90</v>
      </c>
      <c r="HY4" s="160" t="s">
        <v>91</v>
      </c>
      <c r="HZ4" s="160" t="s">
        <v>92</v>
      </c>
      <c r="IA4" s="191" t="s">
        <v>93</v>
      </c>
      <c r="IB4" s="192" t="s">
        <v>94</v>
      </c>
      <c r="IC4" s="192" t="s">
        <v>95</v>
      </c>
      <c r="ID4" s="192" t="s">
        <v>96</v>
      </c>
      <c r="IE4" s="192" t="s">
        <v>97</v>
      </c>
      <c r="IF4" s="192" t="s">
        <v>98</v>
      </c>
      <c r="IG4" s="192" t="s">
        <v>99</v>
      </c>
      <c r="IH4" s="138"/>
      <c r="II4" s="186"/>
      <c r="IJ4" s="138"/>
      <c r="IK4" s="160"/>
      <c r="IL4" s="193" t="s">
        <v>90</v>
      </c>
      <c r="IM4" s="194" t="str">
        <f>ID4</f>
        <v>Volume Ratio</v>
      </c>
      <c r="IN4" s="195" t="s">
        <v>100</v>
      </c>
      <c r="IO4" s="170" t="s">
        <v>101</v>
      </c>
      <c r="IP4" s="195" t="str">
        <f>JQ4</f>
        <v>Study System</v>
      </c>
      <c r="IQ4" s="170" t="s">
        <v>102</v>
      </c>
      <c r="IR4" s="195" t="str">
        <f>IP4</f>
        <v>Study System</v>
      </c>
      <c r="IS4" s="170" t="s">
        <v>102</v>
      </c>
      <c r="IT4" s="195" t="str">
        <f>IR4</f>
        <v>Study System</v>
      </c>
      <c r="IU4" s="170" t="s">
        <v>102</v>
      </c>
      <c r="IV4" s="195" t="s">
        <v>103</v>
      </c>
      <c r="IW4" s="196" t="s">
        <v>104</v>
      </c>
      <c r="IX4" s="197"/>
      <c r="IY4" s="198"/>
      <c r="IZ4" s="197"/>
      <c r="JA4" s="171"/>
      <c r="JB4" s="199" t="s">
        <v>90</v>
      </c>
      <c r="JC4" s="200" t="s">
        <v>95</v>
      </c>
      <c r="JD4" s="200" t="s">
        <v>96</v>
      </c>
      <c r="JE4" s="171" t="str">
        <f>IN4</f>
        <v>Study System</v>
      </c>
      <c r="JF4" s="201" t="s">
        <v>105</v>
      </c>
      <c r="JG4" s="202" t="str">
        <f>JE4</f>
        <v>Study System</v>
      </c>
      <c r="JH4" s="201" t="s">
        <v>106</v>
      </c>
      <c r="JI4" s="202" t="str">
        <f>JE4</f>
        <v>Study System</v>
      </c>
      <c r="JJ4" s="201" t="s">
        <v>107</v>
      </c>
      <c r="JK4" s="202" t="str">
        <f>JI4</f>
        <v>Study System</v>
      </c>
      <c r="JL4" s="201" t="s">
        <v>108</v>
      </c>
      <c r="JM4" s="202" t="str">
        <f>JK4</f>
        <v>Study System</v>
      </c>
      <c r="JN4" s="201" t="s">
        <v>109</v>
      </c>
      <c r="JO4" s="202" t="str">
        <f>JM4</f>
        <v>Study System</v>
      </c>
      <c r="JP4" s="201" t="s">
        <v>110</v>
      </c>
      <c r="JQ4" s="202" t="str">
        <f>JK4</f>
        <v>Study System</v>
      </c>
      <c r="JR4" s="201" t="s">
        <v>111</v>
      </c>
      <c r="JS4" s="202" t="str">
        <f>JQ4</f>
        <v>Study System</v>
      </c>
      <c r="JT4" s="201" t="s">
        <v>112</v>
      </c>
      <c r="JU4" s="202" t="s">
        <v>113</v>
      </c>
      <c r="JV4" s="203" t="s">
        <v>114</v>
      </c>
      <c r="JW4" s="203" t="s">
        <v>115</v>
      </c>
      <c r="JX4" s="197"/>
      <c r="JY4" s="198"/>
      <c r="JZ4" s="204"/>
      <c r="KA4" s="205"/>
      <c r="KB4" s="150" t="s">
        <v>90</v>
      </c>
      <c r="KC4" s="206" t="s">
        <v>116</v>
      </c>
      <c r="KD4" s="206" t="s">
        <v>117</v>
      </c>
      <c r="KE4" s="206" t="s">
        <v>118</v>
      </c>
      <c r="KF4" s="206" t="s">
        <v>119</v>
      </c>
      <c r="KG4" s="206" t="s">
        <v>95</v>
      </c>
      <c r="KH4" s="206" t="s">
        <v>96</v>
      </c>
      <c r="KI4" s="150" t="s">
        <v>120</v>
      </c>
      <c r="KJ4" s="206" t="s">
        <v>121</v>
      </c>
      <c r="KK4" s="138"/>
      <c r="KL4" s="141"/>
      <c r="KM4" s="207"/>
      <c r="KN4" s="160"/>
      <c r="KO4" s="161" t="s">
        <v>90</v>
      </c>
      <c r="KP4" s="194" t="str">
        <f>KJ4</f>
        <v>FY Quarter</v>
      </c>
      <c r="KQ4" s="194" t="str">
        <f>KI4</f>
        <v>Total System Ratio</v>
      </c>
      <c r="KR4" s="195" t="s">
        <v>27</v>
      </c>
      <c r="KS4" s="170" t="s">
        <v>122</v>
      </c>
      <c r="KT4" s="195" t="s">
        <v>27</v>
      </c>
      <c r="KU4" s="170" t="str">
        <f>LV4</f>
        <v>Target Year</v>
      </c>
      <c r="KV4" s="195" t="str">
        <f>KT4</f>
        <v>Total System</v>
      </c>
      <c r="KW4" s="170" t="str">
        <f>KU4</f>
        <v>Target Year</v>
      </c>
      <c r="KX4" s="196" t="s">
        <v>27</v>
      </c>
      <c r="KY4" s="196" t="s">
        <v>122</v>
      </c>
      <c r="KZ4" s="195" t="s">
        <v>123</v>
      </c>
      <c r="LA4" s="196" t="s">
        <v>124</v>
      </c>
      <c r="LB4" s="207"/>
      <c r="LC4" s="208"/>
      <c r="LD4" s="207"/>
      <c r="LE4" s="171"/>
      <c r="LF4" s="193" t="s">
        <v>125</v>
      </c>
      <c r="LG4" s="209" t="s">
        <v>95</v>
      </c>
      <c r="LH4" s="194" t="s">
        <v>96</v>
      </c>
      <c r="LI4" s="195" t="s">
        <v>126</v>
      </c>
      <c r="LJ4" s="170" t="s">
        <v>122</v>
      </c>
      <c r="LK4" s="195" t="s">
        <v>126</v>
      </c>
      <c r="LL4" s="170" t="str">
        <f>LJ4</f>
        <v>Target Year</v>
      </c>
      <c r="LM4" s="195" t="s">
        <v>126</v>
      </c>
      <c r="LN4" s="170" t="str">
        <f>LL4</f>
        <v>Target Year</v>
      </c>
      <c r="LO4" s="195" t="s">
        <v>126</v>
      </c>
      <c r="LP4" s="170" t="str">
        <f>LN4</f>
        <v>Target Year</v>
      </c>
      <c r="LQ4" s="195" t="s">
        <v>127</v>
      </c>
      <c r="LR4" s="170" t="str">
        <f>LN4</f>
        <v>Target Year</v>
      </c>
      <c r="LS4" s="195" t="s">
        <v>127</v>
      </c>
      <c r="LT4" s="170" t="str">
        <f>LP4</f>
        <v>Target Year</v>
      </c>
      <c r="LU4" s="195" t="s">
        <v>127</v>
      </c>
      <c r="LV4" s="170" t="str">
        <f>LP4</f>
        <v>Target Year</v>
      </c>
      <c r="LW4" s="195" t="s">
        <v>127</v>
      </c>
      <c r="LX4" s="170" t="str">
        <f>LV4</f>
        <v>Target Year</v>
      </c>
      <c r="LY4" s="195" t="s">
        <v>27</v>
      </c>
      <c r="LZ4" s="196" t="s">
        <v>442</v>
      </c>
      <c r="MA4" s="210"/>
      <c r="MB4" s="211"/>
      <c r="MC4" s="153"/>
      <c r="MD4" s="171"/>
      <c r="ME4" s="165" t="s">
        <v>90</v>
      </c>
      <c r="MF4" s="195" t="s">
        <v>100</v>
      </c>
      <c r="MG4" s="165" t="s">
        <v>27</v>
      </c>
      <c r="MH4" s="170" t="s">
        <v>122</v>
      </c>
      <c r="MI4" s="195" t="s">
        <v>100</v>
      </c>
      <c r="MJ4" s="165" t="s">
        <v>27</v>
      </c>
      <c r="MK4" s="170" t="s">
        <v>122</v>
      </c>
      <c r="ML4" s="195" t="s">
        <v>100</v>
      </c>
      <c r="MM4" s="165" t="s">
        <v>27</v>
      </c>
      <c r="MN4" s="170" t="s">
        <v>122</v>
      </c>
      <c r="MO4" s="146"/>
      <c r="MP4" s="157"/>
      <c r="MQ4" s="146"/>
      <c r="MR4" s="165"/>
      <c r="MS4" s="165" t="s">
        <v>128</v>
      </c>
      <c r="MT4" s="165" t="s">
        <v>129</v>
      </c>
      <c r="MU4" s="146"/>
      <c r="MV4" s="157"/>
      <c r="MW4" s="146"/>
      <c r="MX4" s="147"/>
      <c r="MY4" s="148"/>
      <c r="MZ4" s="983" t="s">
        <v>130</v>
      </c>
      <c r="NA4" s="983"/>
      <c r="NB4" s="898"/>
      <c r="NC4" s="982" t="s">
        <v>131</v>
      </c>
      <c r="ND4" s="983"/>
      <c r="NE4" s="146"/>
      <c r="NF4" s="157"/>
      <c r="NG4" s="146"/>
      <c r="NH4" s="147"/>
      <c r="NI4" s="212"/>
      <c r="NJ4" s="898" t="s">
        <v>132</v>
      </c>
      <c r="NK4" s="212" t="s">
        <v>133</v>
      </c>
      <c r="NL4" s="898" t="s">
        <v>134</v>
      </c>
      <c r="NM4" s="898" t="s">
        <v>134</v>
      </c>
      <c r="NN4" s="146"/>
      <c r="NO4" s="157"/>
      <c r="NP4" s="146"/>
      <c r="NQ4" s="213"/>
      <c r="NR4" s="213"/>
      <c r="NS4" s="213"/>
      <c r="NT4" s="213"/>
      <c r="NU4" s="213"/>
      <c r="NV4" s="213"/>
      <c r="NW4" s="213"/>
    </row>
    <row r="5" spans="2:387" ht="21" customHeight="1" x14ac:dyDescent="0.3">
      <c r="B5" s="215" t="s">
        <v>135</v>
      </c>
      <c r="C5" s="216"/>
      <c r="D5" s="217"/>
      <c r="E5" s="218"/>
      <c r="F5" s="219" t="s">
        <v>136</v>
      </c>
      <c r="G5" s="220" t="s">
        <v>137</v>
      </c>
      <c r="H5" s="221" t="s">
        <v>138</v>
      </c>
      <c r="I5" s="215" t="s">
        <v>139</v>
      </c>
      <c r="J5" s="220" t="s">
        <v>140</v>
      </c>
      <c r="K5" s="219" t="s">
        <v>141</v>
      </c>
      <c r="L5" s="222" t="s">
        <v>142</v>
      </c>
      <c r="M5" s="220" t="s">
        <v>143</v>
      </c>
      <c r="N5" s="219" t="s">
        <v>144</v>
      </c>
      <c r="O5" s="222" t="s">
        <v>145</v>
      </c>
      <c r="P5" s="220" t="s">
        <v>146</v>
      </c>
      <c r="Q5" s="223" t="s">
        <v>147</v>
      </c>
      <c r="R5" s="215" t="s">
        <v>148</v>
      </c>
      <c r="S5" s="224"/>
      <c r="T5" s="225"/>
      <c r="U5" s="214"/>
      <c r="V5" s="226" t="s">
        <v>135</v>
      </c>
      <c r="W5" s="227" t="s">
        <v>136</v>
      </c>
      <c r="X5" s="226" t="s">
        <v>137</v>
      </c>
      <c r="Y5" s="228" t="s">
        <v>149</v>
      </c>
      <c r="Z5" s="226" t="s">
        <v>139</v>
      </c>
      <c r="AA5" s="226" t="s">
        <v>140</v>
      </c>
      <c r="AB5" s="207"/>
      <c r="AC5" s="229"/>
      <c r="AD5" s="225"/>
      <c r="AE5" s="214"/>
      <c r="AF5" s="226" t="s">
        <v>135</v>
      </c>
      <c r="AG5" s="227" t="s">
        <v>136</v>
      </c>
      <c r="AH5" s="226" t="s">
        <v>137</v>
      </c>
      <c r="AI5" s="228" t="s">
        <v>149</v>
      </c>
      <c r="AJ5" s="226" t="s">
        <v>139</v>
      </c>
      <c r="AK5" s="214"/>
      <c r="AL5" s="230"/>
      <c r="AM5" s="214"/>
      <c r="AN5" s="226" t="s">
        <v>135</v>
      </c>
      <c r="AO5" s="231"/>
      <c r="AP5" s="232"/>
      <c r="AQ5" s="232"/>
      <c r="AR5" s="233"/>
      <c r="AS5" s="226" t="s">
        <v>136</v>
      </c>
      <c r="AT5" s="226" t="s">
        <v>137</v>
      </c>
      <c r="AU5" s="226"/>
      <c r="AV5" s="226">
        <v>0</v>
      </c>
      <c r="AW5" s="226" t="s">
        <v>137</v>
      </c>
      <c r="AX5" s="226" t="s">
        <v>149</v>
      </c>
      <c r="AY5" s="226"/>
      <c r="AZ5" s="226" t="s">
        <v>139</v>
      </c>
      <c r="BA5" s="226" t="s">
        <v>140</v>
      </c>
      <c r="BB5" s="226" t="s">
        <v>141</v>
      </c>
      <c r="BC5" s="226"/>
      <c r="BD5" s="226" t="s">
        <v>142</v>
      </c>
      <c r="BE5" s="226" t="s">
        <v>143</v>
      </c>
      <c r="BF5" s="226" t="s">
        <v>144</v>
      </c>
      <c r="BG5" s="226"/>
      <c r="BH5" s="226" t="s">
        <v>145</v>
      </c>
      <c r="BI5" s="226" t="s">
        <v>146</v>
      </c>
      <c r="BJ5" s="226" t="s">
        <v>147</v>
      </c>
      <c r="BK5" s="226"/>
      <c r="BL5" s="226" t="s">
        <v>148</v>
      </c>
      <c r="BM5" s="226" t="s">
        <v>150</v>
      </c>
      <c r="BN5" s="226" t="s">
        <v>151</v>
      </c>
      <c r="BO5" s="226"/>
      <c r="BP5" s="226" t="s">
        <v>152</v>
      </c>
      <c r="BQ5" s="226" t="s">
        <v>153</v>
      </c>
      <c r="BR5" s="226" t="s">
        <v>154</v>
      </c>
      <c r="BS5" s="226"/>
      <c r="BT5" s="226" t="s">
        <v>155</v>
      </c>
      <c r="BU5" s="226" t="s">
        <v>156</v>
      </c>
      <c r="BV5" s="226" t="s">
        <v>157</v>
      </c>
      <c r="BW5" s="227" t="s">
        <v>136</v>
      </c>
      <c r="BX5" s="226" t="s">
        <v>137</v>
      </c>
      <c r="BY5" s="226" t="s">
        <v>138</v>
      </c>
      <c r="BZ5" s="227" t="s">
        <v>136</v>
      </c>
      <c r="CA5" s="226" t="s">
        <v>137</v>
      </c>
      <c r="CB5" s="226" t="s">
        <v>138</v>
      </c>
      <c r="CC5" s="234" t="s">
        <v>139</v>
      </c>
      <c r="CD5" s="226" t="s">
        <v>140</v>
      </c>
      <c r="CE5" s="226" t="s">
        <v>141</v>
      </c>
      <c r="CF5" s="235" t="s">
        <v>142</v>
      </c>
      <c r="CG5" s="226" t="s">
        <v>143</v>
      </c>
      <c r="CH5" s="214"/>
      <c r="CI5" s="225"/>
      <c r="CJ5" s="214"/>
      <c r="CK5" s="226" t="s">
        <v>135</v>
      </c>
      <c r="CL5" s="236"/>
      <c r="CM5" s="226" t="s">
        <v>136</v>
      </c>
      <c r="CN5" s="226" t="s">
        <v>137</v>
      </c>
      <c r="CO5" s="226" t="s">
        <v>149</v>
      </c>
      <c r="CP5" s="237" t="s">
        <v>139</v>
      </c>
      <c r="CQ5" s="226" t="s">
        <v>140</v>
      </c>
      <c r="CR5" s="226" t="s">
        <v>141</v>
      </c>
      <c r="CS5" s="226" t="s">
        <v>142</v>
      </c>
      <c r="CT5" s="226" t="s">
        <v>143</v>
      </c>
      <c r="CU5" s="238"/>
      <c r="CV5" s="186"/>
      <c r="CW5" s="214"/>
      <c r="CX5" s="226" t="s">
        <v>135</v>
      </c>
      <c r="CY5" s="239"/>
      <c r="CZ5" s="226" t="s">
        <v>136</v>
      </c>
      <c r="DA5" s="240" t="s">
        <v>137</v>
      </c>
      <c r="DB5" s="226" t="s">
        <v>149</v>
      </c>
      <c r="DC5" s="241" t="s">
        <v>139</v>
      </c>
      <c r="DD5" s="241" t="s">
        <v>140</v>
      </c>
      <c r="DE5" s="214"/>
      <c r="DF5" s="186"/>
      <c r="DG5" s="214"/>
      <c r="DH5" s="226" t="s">
        <v>135</v>
      </c>
      <c r="DI5" s="239"/>
      <c r="DJ5" s="226" t="s">
        <v>136</v>
      </c>
      <c r="DK5" s="240" t="s">
        <v>137</v>
      </c>
      <c r="DL5" s="226" t="s">
        <v>149</v>
      </c>
      <c r="DM5" s="241" t="s">
        <v>139</v>
      </c>
      <c r="DN5" s="214"/>
      <c r="DO5" s="225"/>
      <c r="DP5" s="214"/>
      <c r="DQ5" s="226" t="s">
        <v>135</v>
      </c>
      <c r="DR5" s="242"/>
      <c r="DS5" s="241" t="s">
        <v>136</v>
      </c>
      <c r="DT5" s="241" t="s">
        <v>137</v>
      </c>
      <c r="DU5" s="241" t="s">
        <v>149</v>
      </c>
      <c r="DV5" s="241" t="s">
        <v>139</v>
      </c>
      <c r="DW5" s="243" t="s">
        <v>140</v>
      </c>
      <c r="DX5" s="241" t="s">
        <v>141</v>
      </c>
      <c r="DY5" s="241" t="s">
        <v>142</v>
      </c>
      <c r="DZ5" s="241" t="s">
        <v>143</v>
      </c>
      <c r="EA5" s="214"/>
      <c r="EB5" s="225"/>
      <c r="EC5" s="214"/>
      <c r="ED5" s="226" t="s">
        <v>135</v>
      </c>
      <c r="EE5" s="236"/>
      <c r="EF5" s="226" t="s">
        <v>136</v>
      </c>
      <c r="EG5" s="226" t="s">
        <v>137</v>
      </c>
      <c r="EH5" s="226" t="s">
        <v>149</v>
      </c>
      <c r="EI5" s="237" t="s">
        <v>139</v>
      </c>
      <c r="EJ5" s="226" t="s">
        <v>140</v>
      </c>
      <c r="EK5" s="226" t="s">
        <v>141</v>
      </c>
      <c r="EL5" s="226" t="s">
        <v>142</v>
      </c>
      <c r="EM5" s="226" t="s">
        <v>143</v>
      </c>
      <c r="EN5" s="244"/>
      <c r="EO5" s="245"/>
      <c r="EP5" s="214"/>
      <c r="EQ5" s="226" t="s">
        <v>135</v>
      </c>
      <c r="ER5" s="236"/>
      <c r="ES5" s="226" t="s">
        <v>136</v>
      </c>
      <c r="ET5" s="226" t="s">
        <v>137</v>
      </c>
      <c r="EU5" s="226" t="s">
        <v>149</v>
      </c>
      <c r="EV5" s="237" t="s">
        <v>139</v>
      </c>
      <c r="EW5" s="226" t="s">
        <v>140</v>
      </c>
      <c r="EX5" s="226" t="s">
        <v>141</v>
      </c>
      <c r="EY5" s="226" t="s">
        <v>142</v>
      </c>
      <c r="EZ5" s="237" t="s">
        <v>143</v>
      </c>
      <c r="FA5" s="226" t="s">
        <v>144</v>
      </c>
      <c r="FB5" s="226" t="s">
        <v>145</v>
      </c>
      <c r="FC5" s="226" t="s">
        <v>146</v>
      </c>
      <c r="FD5" s="244"/>
      <c r="FE5" s="245"/>
      <c r="FF5" s="214"/>
      <c r="FG5" s="226" t="s">
        <v>135</v>
      </c>
      <c r="FH5" s="232"/>
      <c r="FI5" s="246"/>
      <c r="FJ5" s="226" t="s">
        <v>136</v>
      </c>
      <c r="FK5" s="226" t="s">
        <v>137</v>
      </c>
      <c r="FL5" s="226" t="s">
        <v>149</v>
      </c>
      <c r="FM5" s="237" t="s">
        <v>139</v>
      </c>
      <c r="FN5" s="226" t="s">
        <v>140</v>
      </c>
      <c r="FO5" s="226" t="s">
        <v>141</v>
      </c>
      <c r="FP5" s="226" t="s">
        <v>142</v>
      </c>
      <c r="FQ5" s="226" t="s">
        <v>143</v>
      </c>
      <c r="FR5" s="226" t="s">
        <v>144</v>
      </c>
      <c r="FS5" s="244"/>
      <c r="FT5" s="186"/>
      <c r="FU5" s="214"/>
      <c r="FV5" s="226" t="s">
        <v>135</v>
      </c>
      <c r="FW5" s="247"/>
      <c r="FX5" s="226" t="s">
        <v>136</v>
      </c>
      <c r="FY5" s="226" t="s">
        <v>137</v>
      </c>
      <c r="FZ5" s="226" t="s">
        <v>149</v>
      </c>
      <c r="GA5" s="237" t="s">
        <v>139</v>
      </c>
      <c r="GB5" s="226" t="s">
        <v>140</v>
      </c>
      <c r="GC5" s="226" t="s">
        <v>141</v>
      </c>
      <c r="GD5" s="226" t="s">
        <v>142</v>
      </c>
      <c r="GE5" s="226" t="s">
        <v>143</v>
      </c>
      <c r="GF5" s="248"/>
      <c r="GG5" s="225"/>
      <c r="GH5" s="214"/>
      <c r="GI5" s="226" t="s">
        <v>135</v>
      </c>
      <c r="GJ5" s="247"/>
      <c r="GK5" s="226" t="s">
        <v>136</v>
      </c>
      <c r="GL5" s="226" t="s">
        <v>137</v>
      </c>
      <c r="GM5" s="226" t="s">
        <v>149</v>
      </c>
      <c r="GN5" s="237" t="s">
        <v>139</v>
      </c>
      <c r="GO5" s="226" t="s">
        <v>140</v>
      </c>
      <c r="GP5" s="226" t="s">
        <v>141</v>
      </c>
      <c r="GQ5" s="226" t="s">
        <v>142</v>
      </c>
      <c r="GR5" s="226" t="s">
        <v>143</v>
      </c>
      <c r="GS5" s="248"/>
      <c r="GT5" s="225"/>
      <c r="GU5" s="214"/>
      <c r="GV5" s="226" t="s">
        <v>135</v>
      </c>
      <c r="GW5" s="247"/>
      <c r="GX5" s="226" t="s">
        <v>136</v>
      </c>
      <c r="GY5" s="226" t="s">
        <v>137</v>
      </c>
      <c r="GZ5" s="226" t="s">
        <v>149</v>
      </c>
      <c r="HA5" s="237" t="s">
        <v>139</v>
      </c>
      <c r="HB5" s="226" t="s">
        <v>140</v>
      </c>
      <c r="HC5" s="226" t="s">
        <v>141</v>
      </c>
      <c r="HD5" s="226" t="s">
        <v>142</v>
      </c>
      <c r="HE5" s="226" t="s">
        <v>143</v>
      </c>
      <c r="HF5" s="248"/>
      <c r="HG5" s="225"/>
      <c r="HH5" s="214"/>
      <c r="HI5" s="226" t="s">
        <v>135</v>
      </c>
      <c r="HJ5" s="233"/>
      <c r="HK5" s="226" t="s">
        <v>136</v>
      </c>
      <c r="HL5" s="226" t="s">
        <v>137</v>
      </c>
      <c r="HM5" s="226" t="s">
        <v>149</v>
      </c>
      <c r="HN5" s="237" t="s">
        <v>139</v>
      </c>
      <c r="HO5" s="226" t="s">
        <v>140</v>
      </c>
      <c r="HP5" s="226" t="s">
        <v>141</v>
      </c>
      <c r="HQ5" s="226" t="s">
        <v>142</v>
      </c>
      <c r="HR5" s="226" t="s">
        <v>143</v>
      </c>
      <c r="HS5" s="214"/>
      <c r="HT5" s="225"/>
      <c r="HU5" s="214"/>
      <c r="HV5" s="214"/>
      <c r="HW5" s="249" t="s">
        <v>158</v>
      </c>
      <c r="HX5" s="226" t="s">
        <v>136</v>
      </c>
      <c r="HY5" s="226" t="s">
        <v>137</v>
      </c>
      <c r="HZ5" s="226" t="s">
        <v>149</v>
      </c>
      <c r="IA5" s="226" t="s">
        <v>139</v>
      </c>
      <c r="IB5" s="226" t="s">
        <v>140</v>
      </c>
      <c r="IC5" s="226" t="s">
        <v>141</v>
      </c>
      <c r="ID5" s="226" t="s">
        <v>142</v>
      </c>
      <c r="IE5" s="226" t="s">
        <v>143</v>
      </c>
      <c r="IF5" s="226" t="s">
        <v>144</v>
      </c>
      <c r="IG5" s="226" t="s">
        <v>145</v>
      </c>
      <c r="IH5" s="207"/>
      <c r="II5" s="135"/>
      <c r="IJ5" s="207"/>
      <c r="IK5" s="250" t="s">
        <v>135</v>
      </c>
      <c r="IL5" s="251" t="s">
        <v>136</v>
      </c>
      <c r="IM5" s="237" t="s">
        <v>137</v>
      </c>
      <c r="IN5" s="226" t="s">
        <v>149</v>
      </c>
      <c r="IO5" s="237" t="s">
        <v>139</v>
      </c>
      <c r="IP5" s="226" t="s">
        <v>140</v>
      </c>
      <c r="IQ5" s="237" t="s">
        <v>141</v>
      </c>
      <c r="IR5" s="226" t="s">
        <v>142</v>
      </c>
      <c r="IS5" s="237" t="s">
        <v>143</v>
      </c>
      <c r="IT5" s="226" t="s">
        <v>144</v>
      </c>
      <c r="IU5" s="226" t="s">
        <v>145</v>
      </c>
      <c r="IV5" s="226" t="s">
        <v>146</v>
      </c>
      <c r="IW5" s="226" t="s">
        <v>147</v>
      </c>
      <c r="IX5" s="207"/>
      <c r="IY5" s="208"/>
      <c r="IZ5" s="207"/>
      <c r="JA5" s="252" t="s">
        <v>158</v>
      </c>
      <c r="JB5" s="253" t="s">
        <v>136</v>
      </c>
      <c r="JC5" s="254" t="s">
        <v>137</v>
      </c>
      <c r="JD5" s="253" t="s">
        <v>149</v>
      </c>
      <c r="JE5" s="255" t="s">
        <v>139</v>
      </c>
      <c r="JF5" s="254" t="s">
        <v>140</v>
      </c>
      <c r="JG5" s="255" t="s">
        <v>141</v>
      </c>
      <c r="JH5" s="254" t="s">
        <v>142</v>
      </c>
      <c r="JI5" s="255" t="s">
        <v>143</v>
      </c>
      <c r="JJ5" s="254" t="s">
        <v>144</v>
      </c>
      <c r="JK5" s="255" t="s">
        <v>145</v>
      </c>
      <c r="JL5" s="254" t="s">
        <v>146</v>
      </c>
      <c r="JM5" s="255" t="s">
        <v>147</v>
      </c>
      <c r="JN5" s="254" t="s">
        <v>148</v>
      </c>
      <c r="JO5" s="255" t="s">
        <v>150</v>
      </c>
      <c r="JP5" s="254" t="s">
        <v>151</v>
      </c>
      <c r="JQ5" s="255" t="s">
        <v>152</v>
      </c>
      <c r="JR5" s="254" t="s">
        <v>153</v>
      </c>
      <c r="JS5" s="256" t="s">
        <v>159</v>
      </c>
      <c r="JT5" s="254" t="s">
        <v>155</v>
      </c>
      <c r="JU5" s="255" t="s">
        <v>156</v>
      </c>
      <c r="JV5" s="255" t="s">
        <v>157</v>
      </c>
      <c r="JW5" s="255" t="s">
        <v>160</v>
      </c>
      <c r="JX5" s="207"/>
      <c r="JY5" s="208"/>
      <c r="JZ5" s="101"/>
      <c r="KA5" s="249" t="s">
        <v>135</v>
      </c>
      <c r="KB5" s="226" t="s">
        <v>136</v>
      </c>
      <c r="KC5" s="226" t="s">
        <v>137</v>
      </c>
      <c r="KD5" s="226" t="s">
        <v>161</v>
      </c>
      <c r="KE5" s="226" t="s">
        <v>139</v>
      </c>
      <c r="KF5" s="226" t="s">
        <v>162</v>
      </c>
      <c r="KG5" s="226" t="s">
        <v>141</v>
      </c>
      <c r="KH5" s="226" t="s">
        <v>142</v>
      </c>
      <c r="KI5" s="226" t="s">
        <v>143</v>
      </c>
      <c r="KJ5" s="226" t="s">
        <v>144</v>
      </c>
      <c r="KK5" s="207"/>
      <c r="KL5" s="208"/>
      <c r="KM5" s="138"/>
      <c r="KN5" s="249" t="s">
        <v>135</v>
      </c>
      <c r="KO5" s="226" t="str">
        <f>KB5</f>
        <v>(a)</v>
      </c>
      <c r="KP5" s="226" t="s">
        <v>137</v>
      </c>
      <c r="KQ5" s="226" t="s">
        <v>161</v>
      </c>
      <c r="KR5" s="226" t="s">
        <v>139</v>
      </c>
      <c r="KS5" s="226" t="s">
        <v>162</v>
      </c>
      <c r="KT5" s="226" t="s">
        <v>141</v>
      </c>
      <c r="KU5" s="226" t="s">
        <v>142</v>
      </c>
      <c r="KV5" s="226" t="s">
        <v>143</v>
      </c>
      <c r="KW5" s="226" t="s">
        <v>144</v>
      </c>
      <c r="KX5" s="226" t="s">
        <v>145</v>
      </c>
      <c r="KY5" s="226" t="s">
        <v>146</v>
      </c>
      <c r="KZ5" s="226" t="s">
        <v>147</v>
      </c>
      <c r="LA5" s="226" t="s">
        <v>148</v>
      </c>
      <c r="LB5" s="138"/>
      <c r="LC5" s="141"/>
      <c r="LD5" s="138"/>
      <c r="LE5" s="257" t="s">
        <v>135</v>
      </c>
      <c r="LF5" s="251" t="s">
        <v>136</v>
      </c>
      <c r="LG5" s="251" t="s">
        <v>137</v>
      </c>
      <c r="LH5" s="251" t="s">
        <v>161</v>
      </c>
      <c r="LI5" s="226" t="s">
        <v>139</v>
      </c>
      <c r="LJ5" s="237" t="s">
        <v>162</v>
      </c>
      <c r="LK5" s="226" t="s">
        <v>141</v>
      </c>
      <c r="LL5" s="237" t="s">
        <v>142</v>
      </c>
      <c r="LM5" s="226" t="s">
        <v>143</v>
      </c>
      <c r="LN5" s="237" t="s">
        <v>144</v>
      </c>
      <c r="LO5" s="237" t="s">
        <v>145</v>
      </c>
      <c r="LP5" s="237" t="s">
        <v>146</v>
      </c>
      <c r="LQ5" s="226" t="s">
        <v>147</v>
      </c>
      <c r="LR5" s="237" t="s">
        <v>148</v>
      </c>
      <c r="LS5" s="226" t="s">
        <v>150</v>
      </c>
      <c r="LT5" s="237" t="s">
        <v>151</v>
      </c>
      <c r="LU5" s="226" t="s">
        <v>152</v>
      </c>
      <c r="LV5" s="237" t="s">
        <v>153</v>
      </c>
      <c r="LW5" s="226" t="s">
        <v>154</v>
      </c>
      <c r="LX5" s="237" t="s">
        <v>163</v>
      </c>
      <c r="LY5" s="226" t="s">
        <v>156</v>
      </c>
      <c r="LZ5" s="226" t="s">
        <v>157</v>
      </c>
      <c r="MA5" s="101"/>
      <c r="MB5" s="189"/>
      <c r="MC5" s="224"/>
      <c r="MD5" s="249" t="s">
        <v>158</v>
      </c>
      <c r="ME5" s="237" t="s">
        <v>136</v>
      </c>
      <c r="MF5" s="226" t="s">
        <v>137</v>
      </c>
      <c r="MG5" s="226" t="s">
        <v>161</v>
      </c>
      <c r="MH5" s="237" t="s">
        <v>139</v>
      </c>
      <c r="MI5" s="226" t="s">
        <v>162</v>
      </c>
      <c r="MJ5" s="226" t="s">
        <v>141</v>
      </c>
      <c r="MK5" s="237" t="s">
        <v>142</v>
      </c>
      <c r="ML5" s="226" t="s">
        <v>143</v>
      </c>
      <c r="MM5" s="226" t="s">
        <v>144</v>
      </c>
      <c r="MN5" s="226" t="s">
        <v>145</v>
      </c>
      <c r="MO5" s="214"/>
      <c r="MP5" s="230"/>
      <c r="MQ5" s="224"/>
      <c r="MR5" s="249" t="s">
        <v>135</v>
      </c>
      <c r="MS5" s="227" t="s">
        <v>136</v>
      </c>
      <c r="MT5" s="226" t="s">
        <v>137</v>
      </c>
      <c r="MU5" s="224"/>
      <c r="MV5" s="230"/>
      <c r="MW5" s="224"/>
      <c r="MX5" s="258"/>
      <c r="MY5" s="258"/>
      <c r="MZ5" s="259" t="s">
        <v>62</v>
      </c>
      <c r="NA5" s="260" t="s">
        <v>63</v>
      </c>
      <c r="NB5" s="261"/>
      <c r="NC5" s="262" t="s">
        <v>62</v>
      </c>
      <c r="ND5" s="260" t="s">
        <v>63</v>
      </c>
      <c r="NE5" s="214"/>
      <c r="NF5" s="230"/>
      <c r="NG5" s="224"/>
      <c r="NH5" s="258"/>
      <c r="NI5" s="258"/>
      <c r="NJ5" s="258"/>
      <c r="NK5" s="258"/>
      <c r="NL5" s="263" t="s">
        <v>164</v>
      </c>
      <c r="NM5" s="263" t="s">
        <v>165</v>
      </c>
      <c r="NN5" s="214"/>
      <c r="NO5" s="230"/>
      <c r="NP5" s="224"/>
      <c r="NQ5" s="264"/>
      <c r="NR5" s="264"/>
      <c r="NS5" s="264"/>
      <c r="NT5" s="264"/>
      <c r="NU5" s="264"/>
      <c r="NV5" s="264"/>
      <c r="NW5" s="264"/>
    </row>
    <row r="6" spans="2:387" x14ac:dyDescent="0.3">
      <c r="B6" s="265">
        <v>1</v>
      </c>
      <c r="C6" s="266" t="s">
        <v>166</v>
      </c>
      <c r="D6" s="267"/>
      <c r="E6" s="268"/>
      <c r="F6" s="269"/>
      <c r="G6" s="270"/>
      <c r="H6" s="271"/>
      <c r="I6" s="272"/>
      <c r="J6" s="270"/>
      <c r="K6" s="269"/>
      <c r="L6" s="273"/>
      <c r="M6" s="270"/>
      <c r="N6" s="269"/>
      <c r="O6" s="273"/>
      <c r="P6" s="270"/>
      <c r="Q6" s="274"/>
      <c r="R6" s="272"/>
      <c r="V6" s="275"/>
      <c r="W6" s="276" t="s">
        <v>25</v>
      </c>
      <c r="X6" s="277"/>
      <c r="Y6" s="278"/>
      <c r="Z6" s="278"/>
      <c r="AA6" s="278"/>
      <c r="AB6" s="279"/>
      <c r="AC6" s="280"/>
      <c r="AF6" s="281"/>
      <c r="AG6" s="282" t="s">
        <v>25</v>
      </c>
      <c r="AH6" s="97"/>
      <c r="AI6" s="97"/>
      <c r="AJ6" s="97"/>
      <c r="AN6" s="283">
        <v>1</v>
      </c>
      <c r="AO6" s="284"/>
      <c r="AP6" s="285" t="s">
        <v>166</v>
      </c>
      <c r="AQ6" s="281"/>
      <c r="AR6" s="28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287"/>
      <c r="CD6" s="97"/>
      <c r="CE6" s="97"/>
      <c r="CF6" s="287"/>
      <c r="CG6" s="97"/>
      <c r="CK6" s="283">
        <v>1</v>
      </c>
      <c r="CL6" s="288" t="s">
        <v>69</v>
      </c>
      <c r="CM6" s="289">
        <v>227847.12639999998</v>
      </c>
      <c r="CN6" s="17">
        <v>4426873.1057000002</v>
      </c>
      <c r="CO6" s="17">
        <v>573783.94040000008</v>
      </c>
      <c r="CP6" s="290">
        <f>CO6+CN6</f>
        <v>5000657.0460999999</v>
      </c>
      <c r="CQ6" s="289">
        <v>230065.55064242429</v>
      </c>
      <c r="CR6" s="17">
        <v>4467617.8590333341</v>
      </c>
      <c r="CS6" s="17">
        <v>444149.88200351072</v>
      </c>
      <c r="CT6" s="17">
        <f>CS6+CR6</f>
        <v>4911767.7410368444</v>
      </c>
      <c r="CU6" s="291"/>
      <c r="CV6" s="186"/>
      <c r="CX6" s="283">
        <v>1</v>
      </c>
      <c r="CY6" s="292" t="s">
        <v>69</v>
      </c>
      <c r="CZ6" s="293">
        <v>27072.303499999998</v>
      </c>
      <c r="DA6" s="290">
        <v>571445.50265000004</v>
      </c>
      <c r="DB6" s="293">
        <v>27072.303499999998</v>
      </c>
      <c r="DC6" s="17">
        <v>571445.50264999992</v>
      </c>
      <c r="DD6" s="17">
        <v>571445.50264999992</v>
      </c>
      <c r="DF6" s="186"/>
      <c r="DH6" s="283">
        <v>1</v>
      </c>
      <c r="DI6" s="292" t="s">
        <v>69</v>
      </c>
      <c r="DJ6" s="293">
        <v>125693.06199999999</v>
      </c>
      <c r="DK6" s="290">
        <v>3148278.1857500002</v>
      </c>
      <c r="DL6" s="293">
        <v>127299.97109090912</v>
      </c>
      <c r="DM6" s="17">
        <v>3327431.0126313376</v>
      </c>
      <c r="DQ6" s="283">
        <v>1</v>
      </c>
      <c r="DR6" s="294" t="s">
        <v>167</v>
      </c>
      <c r="DS6" s="295">
        <v>240234</v>
      </c>
      <c r="DT6" s="295">
        <v>283539</v>
      </c>
      <c r="DU6" s="295">
        <v>365317</v>
      </c>
      <c r="DV6" s="295">
        <f>SUM(DS6:DU6)</f>
        <v>889090</v>
      </c>
      <c r="DW6" s="296">
        <v>228850</v>
      </c>
      <c r="DX6" s="295">
        <v>279164</v>
      </c>
      <c r="DY6" s="295">
        <v>340128</v>
      </c>
      <c r="DZ6" s="295">
        <v>848142</v>
      </c>
      <c r="ED6" s="283">
        <v>1</v>
      </c>
      <c r="EE6" s="286" t="s">
        <v>168</v>
      </c>
      <c r="EF6" s="17">
        <v>287644.26399999997</v>
      </c>
      <c r="EG6" s="17">
        <v>414688.32799999998</v>
      </c>
      <c r="EH6" s="17">
        <v>382662.99469999998</v>
      </c>
      <c r="EI6" s="290">
        <f>SUM(EF6:EH6)</f>
        <v>1084995.5866999999</v>
      </c>
      <c r="EJ6" s="17">
        <v>278075.03116146935</v>
      </c>
      <c r="EK6" s="17">
        <v>422093.25051200658</v>
      </c>
      <c r="EL6" s="17">
        <v>387861.38685864961</v>
      </c>
      <c r="EM6" s="17">
        <f>SUM(EJ6:EL6)</f>
        <v>1088029.6685321254</v>
      </c>
      <c r="EN6" s="103"/>
      <c r="EO6" s="189"/>
      <c r="EQ6" s="283">
        <v>1</v>
      </c>
      <c r="ER6" s="286" t="s">
        <v>168</v>
      </c>
      <c r="ES6" s="17">
        <v>213728.13600000003</v>
      </c>
      <c r="ET6" s="17">
        <v>105449.12000000001</v>
      </c>
      <c r="EU6" s="17">
        <v>103689.106</v>
      </c>
      <c r="EV6" s="290">
        <f>SUM(ES6:EU6)</f>
        <v>422866.36200000008</v>
      </c>
      <c r="EW6" s="17">
        <v>198637.33426570735</v>
      </c>
      <c r="EX6" s="17">
        <v>103141.52581775701</v>
      </c>
      <c r="EY6" s="17">
        <v>104277.30279141104</v>
      </c>
      <c r="EZ6" s="290">
        <f>SUM(EW6:EY6)</f>
        <v>406056.16287487542</v>
      </c>
      <c r="FA6" s="17">
        <f t="shared" ref="FA6:FA7" si="0">(EZ6/$EZ$9)*$FA$9</f>
        <v>290034.66992797703</v>
      </c>
      <c r="FB6" s="17">
        <f>(EZ6/$EZ$9)*$FB$9</f>
        <v>116155.68924426479</v>
      </c>
      <c r="FC6" s="17">
        <f>SUM(FA6:FB6)</f>
        <v>406190.35917224182</v>
      </c>
      <c r="FD6" s="103"/>
      <c r="FE6" s="189"/>
      <c r="FG6" s="283">
        <v>1</v>
      </c>
      <c r="FH6" s="285" t="s">
        <v>169</v>
      </c>
      <c r="FI6" s="297"/>
      <c r="FJ6" s="298"/>
      <c r="FK6" s="298"/>
      <c r="FL6" s="298"/>
      <c r="FM6" s="299"/>
      <c r="FN6" s="298"/>
      <c r="FO6" s="298"/>
      <c r="FP6" s="298"/>
      <c r="FQ6" s="298"/>
      <c r="FR6" s="298"/>
      <c r="FS6" s="103"/>
      <c r="FT6" s="189"/>
      <c r="FV6" s="283">
        <v>1</v>
      </c>
      <c r="FW6" s="286" t="s">
        <v>170</v>
      </c>
      <c r="FX6" s="17">
        <v>27056.9</v>
      </c>
      <c r="FY6" s="17">
        <v>10937</v>
      </c>
      <c r="FZ6" s="17">
        <v>40000</v>
      </c>
      <c r="GA6" s="290">
        <v>77993.899999999994</v>
      </c>
      <c r="GB6" s="17">
        <v>0</v>
      </c>
      <c r="GC6" s="17">
        <v>0</v>
      </c>
      <c r="GD6" s="17">
        <v>0</v>
      </c>
      <c r="GE6" s="290">
        <f t="shared" ref="GE6:GE13" si="1">SUM(GB6:GD6)</f>
        <v>0</v>
      </c>
      <c r="GF6" s="300"/>
      <c r="GG6" s="301"/>
      <c r="GI6" s="283">
        <v>1</v>
      </c>
      <c r="GJ6" s="97" t="s">
        <v>171</v>
      </c>
      <c r="GK6" s="17">
        <v>0</v>
      </c>
      <c r="GL6" s="17">
        <v>0</v>
      </c>
      <c r="GM6" s="17">
        <v>0</v>
      </c>
      <c r="GN6" s="290">
        <f t="shared" ref="GN6:GN11" si="2">SUM(GK6:GM6)</f>
        <v>0</v>
      </c>
      <c r="GO6" s="17">
        <v>0</v>
      </c>
      <c r="GP6" s="17">
        <v>0</v>
      </c>
      <c r="GQ6" s="17">
        <v>0</v>
      </c>
      <c r="GR6" s="290">
        <f t="shared" ref="GR6:GR10" si="3">SUM(GO6:GQ6)</f>
        <v>0</v>
      </c>
      <c r="GS6" s="300"/>
      <c r="GT6" s="301"/>
      <c r="GV6" s="283">
        <v>1</v>
      </c>
      <c r="GW6" s="286" t="s">
        <v>172</v>
      </c>
      <c r="GX6" s="17">
        <v>1200</v>
      </c>
      <c r="GY6" s="17">
        <v>5864.05</v>
      </c>
      <c r="GZ6" s="17">
        <v>7336.6900000000005</v>
      </c>
      <c r="HA6" s="290">
        <f t="shared" ref="HA6:HA11" si="4">SUM(GX6:GZ6)</f>
        <v>14400.740000000002</v>
      </c>
      <c r="HB6" s="17">
        <v>1200</v>
      </c>
      <c r="HC6" s="17">
        <v>5864.05</v>
      </c>
      <c r="HD6" s="17">
        <v>7336.6899999999987</v>
      </c>
      <c r="HE6" s="17">
        <f>SUM(HB6:HD6)</f>
        <v>14400.739999999998</v>
      </c>
      <c r="HF6" s="300"/>
      <c r="HG6" s="301"/>
      <c r="HI6" s="283">
        <v>1</v>
      </c>
      <c r="HJ6" s="302" t="s">
        <v>173</v>
      </c>
      <c r="HK6" s="303">
        <v>290799436</v>
      </c>
      <c r="HL6" s="303">
        <v>621968266</v>
      </c>
      <c r="HM6" s="303">
        <v>1165621094</v>
      </c>
      <c r="HN6" s="304">
        <f>SUM(HK6:HM6)</f>
        <v>2078388796</v>
      </c>
      <c r="HO6" s="295">
        <v>294268079.81818181</v>
      </c>
      <c r="HP6" s="295">
        <v>623505438.20000005</v>
      </c>
      <c r="HQ6" s="295">
        <v>1165621094</v>
      </c>
      <c r="HR6" s="295">
        <f>SUM(HO6:HQ6)</f>
        <v>2083394612.0181818</v>
      </c>
      <c r="HS6" s="305"/>
      <c r="HW6" s="283">
        <v>1</v>
      </c>
      <c r="HX6" s="306">
        <v>1</v>
      </c>
      <c r="HY6" s="306">
        <v>10</v>
      </c>
      <c r="HZ6" s="306">
        <v>22</v>
      </c>
      <c r="IA6" s="307">
        <v>11526295</v>
      </c>
      <c r="IB6" s="308">
        <v>18846113</v>
      </c>
      <c r="IC6" s="309">
        <f t="shared" ref="IC6:IC26" si="5">HZ6/HY6</f>
        <v>2.2000000000000002</v>
      </c>
      <c r="ID6" s="309">
        <f t="shared" ref="ID6:ID26" si="6">IB6/IA6</f>
        <v>1.6350538486131059</v>
      </c>
      <c r="IE6" s="310">
        <v>1</v>
      </c>
      <c r="IF6" s="310">
        <v>0</v>
      </c>
      <c r="IG6" s="310">
        <v>0</v>
      </c>
      <c r="II6" s="141"/>
      <c r="IK6" s="311">
        <v>1</v>
      </c>
      <c r="IL6" s="312">
        <v>1</v>
      </c>
      <c r="IM6" s="313">
        <f t="shared" ref="IM6:IM26" si="7">ID6</f>
        <v>1.6350538486131059</v>
      </c>
      <c r="IN6" s="17">
        <v>0</v>
      </c>
      <c r="IO6" s="290">
        <f>IM6*IN6</f>
        <v>0</v>
      </c>
      <c r="IP6" s="17">
        <v>1254545</v>
      </c>
      <c r="IQ6" s="290">
        <v>1917604</v>
      </c>
      <c r="IR6" s="17">
        <v>513544.35600000009</v>
      </c>
      <c r="IS6" s="290">
        <v>776037</v>
      </c>
      <c r="IT6" s="17">
        <v>170395.60081036729</v>
      </c>
      <c r="IU6" s="17">
        <v>278605.98289173353</v>
      </c>
      <c r="IV6" s="17">
        <f>SUM(IN6,IR6,IT6)</f>
        <v>683939.95681036741</v>
      </c>
      <c r="IW6" s="17">
        <f>SUM(IO6,IS6,IU6)</f>
        <v>1054642.9828917335</v>
      </c>
      <c r="IX6" s="314"/>
      <c r="IY6" s="315"/>
      <c r="IZ6" s="314"/>
      <c r="JA6" s="316">
        <v>1</v>
      </c>
      <c r="JB6" s="317">
        <v>1</v>
      </c>
      <c r="JC6" s="318">
        <f t="shared" ref="JC6:JD25" si="8">IC6</f>
        <v>2.2000000000000002</v>
      </c>
      <c r="JD6" s="319">
        <f t="shared" si="8"/>
        <v>1.6350538486131059</v>
      </c>
      <c r="JE6" s="17">
        <v>218995.37041548945</v>
      </c>
      <c r="JF6" s="290">
        <f>JE6*$JD6</f>
        <v>358069.22322629875</v>
      </c>
      <c r="JG6" s="17">
        <v>18050.269800000002</v>
      </c>
      <c r="JH6" s="290">
        <f>JG6*$JD6</f>
        <v>29513.163104994921</v>
      </c>
      <c r="JI6" s="17">
        <v>186217.60978451057</v>
      </c>
      <c r="JJ6" s="290">
        <f>JI6*JC6</f>
        <v>409678.74152592331</v>
      </c>
      <c r="JK6" s="17">
        <v>324907.78929672181</v>
      </c>
      <c r="JL6" s="290">
        <v>816838.09085866832</v>
      </c>
      <c r="JM6" s="17">
        <v>4953.383799999996</v>
      </c>
      <c r="JN6" s="290">
        <f>JM6*$JD6</f>
        <v>8099.0492458478047</v>
      </c>
      <c r="JO6" s="17">
        <v>27255.312800000014</v>
      </c>
      <c r="JP6" s="290">
        <f>JO6*$JD6</f>
        <v>44563.904088794072</v>
      </c>
      <c r="JQ6" s="17">
        <v>24635.33</v>
      </c>
      <c r="JR6" s="290">
        <f>JQ6*$JD6</f>
        <v>40280.09112835391</v>
      </c>
      <c r="JS6" s="17">
        <v>108325.56174999999</v>
      </c>
      <c r="JT6" s="290">
        <f>JS6*$JD6</f>
        <v>177118.12664251414</v>
      </c>
      <c r="JU6" s="17">
        <f>JE6+JG6+JI6+JK6+JM6+JQ6+JS6+JO6</f>
        <v>913340.62764672167</v>
      </c>
      <c r="JV6" s="17">
        <f>JF6+JH6+JJ6+JL6+JN6+JR6+JT6+JP6</f>
        <v>1884160.389821395</v>
      </c>
      <c r="JW6" s="320">
        <f t="shared" ref="JW6:JW26" si="9">JV6/IB6*100</f>
        <v>9.9976074101932593</v>
      </c>
      <c r="KA6" s="283">
        <v>1</v>
      </c>
      <c r="KB6" s="306">
        <v>1</v>
      </c>
      <c r="KC6" s="97">
        <f t="shared" ref="KC6:KC25" si="10">HZ6</f>
        <v>22</v>
      </c>
      <c r="KD6" s="97">
        <f t="shared" ref="KD6:KD18" si="11">KC6</f>
        <v>22</v>
      </c>
      <c r="KE6" s="289">
        <f t="shared" ref="KE6:KE25" si="12">IB6</f>
        <v>18846113</v>
      </c>
      <c r="KF6" s="289">
        <f t="shared" ref="KF6:KF25" si="13">KE6*$KH$26</f>
        <v>19651844.97831009</v>
      </c>
      <c r="KG6" s="321">
        <f>KD6/KC6</f>
        <v>1</v>
      </c>
      <c r="KH6" s="321">
        <f>KF6/KE6</f>
        <v>1.0427532180407753</v>
      </c>
      <c r="KI6" s="321">
        <f>LZ7/LY7</f>
        <v>0.98725207170426754</v>
      </c>
      <c r="KJ6" s="306" t="s">
        <v>256</v>
      </c>
      <c r="KK6" s="322"/>
      <c r="KL6" s="323"/>
      <c r="KM6" s="322"/>
      <c r="KN6" s="283">
        <v>1</v>
      </c>
      <c r="KO6" s="306">
        <v>1</v>
      </c>
      <c r="KP6" s="324" t="str">
        <f t="shared" ref="KP6:KP25" si="14">KJ6</f>
        <v>Q3</v>
      </c>
      <c r="KQ6" s="325">
        <f t="shared" ref="KQ6:KQ26" si="15">KI6</f>
        <v>0.98725207170426754</v>
      </c>
      <c r="KR6" s="17">
        <f>IO6</f>
        <v>0</v>
      </c>
      <c r="KS6" s="17">
        <f>KR6*KI6</f>
        <v>0</v>
      </c>
      <c r="KT6" s="17">
        <f t="shared" ref="KT6:KT26" si="16">IQ6</f>
        <v>1917604</v>
      </c>
      <c r="KU6" s="17">
        <f>IB6/$IB$26*$KU$26</f>
        <v>2139908.9411763279</v>
      </c>
      <c r="KV6" s="17">
        <f t="shared" ref="KV6:KV25" si="17">IS6</f>
        <v>776037</v>
      </c>
      <c r="KW6" s="17">
        <f t="shared" ref="KW6:KW25" si="18">IB6/$IB$26*$KW$26</f>
        <v>1174698.161752417</v>
      </c>
      <c r="KX6" s="17">
        <f>IU6</f>
        <v>278605.98289173353</v>
      </c>
      <c r="KY6" s="17">
        <f>IB6/$IB$26*$KY$26</f>
        <v>42455.619171788028</v>
      </c>
      <c r="KZ6" s="17">
        <f>SUM(KR6,KV6,KX6)</f>
        <v>1054642.9828917335</v>
      </c>
      <c r="LA6" s="17">
        <f>SUM(KS6,KW6,KY6)</f>
        <v>1217153.780924205</v>
      </c>
      <c r="LB6" s="326"/>
      <c r="LC6" s="323"/>
      <c r="LD6" s="322"/>
      <c r="LE6" s="327">
        <v>1</v>
      </c>
      <c r="LF6" s="328"/>
      <c r="LG6" s="328"/>
      <c r="LH6" s="329" t="s">
        <v>174</v>
      </c>
      <c r="LI6" s="330"/>
      <c r="LJ6" s="331">
        <v>93.896890289895666</v>
      </c>
      <c r="LK6" s="332"/>
      <c r="LL6" s="331">
        <v>93.896890289895666</v>
      </c>
      <c r="LM6" s="332"/>
      <c r="LN6" s="331">
        <v>93.896890289895666</v>
      </c>
      <c r="LO6" s="332"/>
      <c r="LP6" s="331">
        <v>124.073296295623</v>
      </c>
      <c r="LQ6" s="332"/>
      <c r="LR6" s="331">
        <v>124.918518433629</v>
      </c>
      <c r="LS6" s="332"/>
      <c r="LT6" s="331">
        <v>142.81445092884499</v>
      </c>
      <c r="LU6" s="332"/>
      <c r="LV6" s="331">
        <v>117.90757601671299</v>
      </c>
      <c r="LW6" s="332"/>
      <c r="LX6" s="331">
        <v>121.988107636154</v>
      </c>
      <c r="LY6" s="330"/>
      <c r="LZ6" s="333"/>
      <c r="MA6" s="334"/>
      <c r="MB6" s="335"/>
      <c r="MD6" s="283">
        <v>1</v>
      </c>
      <c r="ME6" s="336">
        <v>1</v>
      </c>
      <c r="MF6" s="17">
        <f t="shared" ref="MF6:MG25" si="19">IV6</f>
        <v>683939.95681036741</v>
      </c>
      <c r="MG6" s="17">
        <f t="shared" si="19"/>
        <v>1054642.9828917335</v>
      </c>
      <c r="MH6" s="290">
        <f t="shared" ref="MH6:MH25" si="20">LA6</f>
        <v>1217153.780924205</v>
      </c>
      <c r="MI6" s="17">
        <f t="shared" ref="MI6:MJ25" si="21">JU6</f>
        <v>913340.62764672167</v>
      </c>
      <c r="MJ6" s="17">
        <f t="shared" si="21"/>
        <v>1884160.389821395</v>
      </c>
      <c r="MK6" s="290">
        <f>LZ7</f>
        <v>1860141.2482742926</v>
      </c>
      <c r="ML6" s="17">
        <f>MF6-MI6</f>
        <v>-229400.67083635426</v>
      </c>
      <c r="MM6" s="17">
        <f>MG6-MJ6</f>
        <v>-829517.40692966152</v>
      </c>
      <c r="MN6" s="17">
        <f>MH6-MK6</f>
        <v>-642987.46735008759</v>
      </c>
      <c r="MP6" s="337"/>
      <c r="MQ6" s="98"/>
      <c r="MR6" s="283">
        <v>1</v>
      </c>
      <c r="MS6" s="285" t="s">
        <v>175</v>
      </c>
      <c r="MT6" s="265"/>
      <c r="MU6" s="98"/>
      <c r="MV6" s="337"/>
      <c r="MW6" s="98"/>
      <c r="MX6" s="338" t="s">
        <v>135</v>
      </c>
      <c r="MY6" s="338"/>
      <c r="MZ6" s="227" t="s">
        <v>136</v>
      </c>
      <c r="NA6" s="226" t="s">
        <v>137</v>
      </c>
      <c r="NB6" s="226"/>
      <c r="NC6" s="234" t="s">
        <v>138</v>
      </c>
      <c r="ND6" s="226" t="s">
        <v>139</v>
      </c>
      <c r="NF6" s="337"/>
      <c r="NG6" s="98"/>
      <c r="NH6" s="338" t="s">
        <v>135</v>
      </c>
      <c r="NI6" s="113"/>
      <c r="NJ6" s="96"/>
      <c r="NO6" s="337"/>
      <c r="NP6" s="98"/>
    </row>
    <row r="7" spans="2:387" x14ac:dyDescent="0.3">
      <c r="B7" s="226">
        <f>B6+1</f>
        <v>2</v>
      </c>
      <c r="C7" s="339"/>
      <c r="D7" s="518" t="s">
        <v>166</v>
      </c>
      <c r="E7" s="340"/>
      <c r="F7" s="15">
        <f>HN7-F10-F11</f>
        <v>326375296.65850008</v>
      </c>
      <c r="G7" s="341">
        <f t="shared" ref="G7:G12" si="22">F7/F$24*100</f>
        <v>15.703284067284784</v>
      </c>
      <c r="H7" s="15">
        <f>HR7-H10-H11</f>
        <v>322622284.32787216</v>
      </c>
      <c r="I7" s="342">
        <f t="shared" ref="I7:I12" si="23">H7/H$24*100</f>
        <v>15.485414163347016</v>
      </c>
      <c r="J7" s="343">
        <f>H7-F7</f>
        <v>-3753012.3306279182</v>
      </c>
      <c r="K7" s="15">
        <f>K8+K9</f>
        <v>324392392</v>
      </c>
      <c r="L7" s="342">
        <f t="shared" ref="L7:L12" si="24">K7/K$24*100</f>
        <v>15.355887069393029</v>
      </c>
      <c r="M7" s="343">
        <f>K7-H7</f>
        <v>1770107.6721278429</v>
      </c>
      <c r="N7" s="15">
        <f>N8+N9</f>
        <v>371540376.1521095</v>
      </c>
      <c r="O7" s="342">
        <f t="shared" ref="O7:O12" si="25">N7/N$24*100</f>
        <v>16.866645887890453</v>
      </c>
      <c r="P7" s="343">
        <f>N7-K7</f>
        <v>47147984.152109504</v>
      </c>
      <c r="Q7" s="15">
        <f>N7-F7</f>
        <v>45165079.493609428</v>
      </c>
      <c r="R7" s="344">
        <f>O7/G7-1</f>
        <v>7.4083982409089977E-2</v>
      </c>
      <c r="V7" s="249">
        <f>V6+1</f>
        <v>1</v>
      </c>
      <c r="W7" s="345" t="s">
        <v>176</v>
      </c>
      <c r="X7" s="20">
        <v>-230802.10374195941</v>
      </c>
      <c r="Y7" s="20">
        <v>1676841.6676000003</v>
      </c>
      <c r="Z7" s="20">
        <v>3899001.5918000019</v>
      </c>
      <c r="AA7" s="20">
        <f>SUM(X7:Z7)</f>
        <v>5345041.155658043</v>
      </c>
      <c r="AB7" s="20"/>
      <c r="AF7" s="249">
        <v>1</v>
      </c>
      <c r="AG7" s="346" t="s">
        <v>78</v>
      </c>
      <c r="AH7" s="105">
        <f>CM9</f>
        <v>1768304.2516944832</v>
      </c>
      <c r="AI7" s="105">
        <f>CZ9</f>
        <v>110734.90699999999</v>
      </c>
      <c r="AJ7" s="347">
        <f>DJ9</f>
        <v>530227.1121017714</v>
      </c>
      <c r="AN7" s="338">
        <v>2</v>
      </c>
      <c r="AO7" s="96"/>
      <c r="AQ7" s="518" t="s">
        <v>166</v>
      </c>
      <c r="AR7" s="340"/>
      <c r="AS7" s="348">
        <v>120302111.8284</v>
      </c>
      <c r="AT7" s="349">
        <v>11.731293175407233</v>
      </c>
      <c r="AU7" s="350"/>
      <c r="AV7" s="348">
        <v>126126278.56186666</v>
      </c>
      <c r="AW7" s="349">
        <v>11.687249674641077</v>
      </c>
      <c r="AX7" s="351">
        <f>AW7/AT7-1</f>
        <v>-3.754360248918287E-3</v>
      </c>
      <c r="AY7" s="350"/>
      <c r="AZ7" s="348">
        <v>150728360.25</v>
      </c>
      <c r="BA7" s="349">
        <v>11.683129983994691</v>
      </c>
      <c r="BB7" s="351">
        <f>BA7/AW7-1</f>
        <v>-3.5249445002660806E-4</v>
      </c>
      <c r="BC7" s="350"/>
      <c r="BD7" s="348">
        <v>171227908</v>
      </c>
      <c r="BE7" s="349">
        <v>11.643318740549148</v>
      </c>
      <c r="BF7" s="351">
        <f>BE7/BA7-1</f>
        <v>-3.407583712590978E-3</v>
      </c>
      <c r="BG7" s="350"/>
      <c r="BH7" s="348">
        <v>176109569.11769998</v>
      </c>
      <c r="BI7" s="349">
        <v>11.588889837145976</v>
      </c>
      <c r="BJ7" s="351">
        <f>BI7/BE7-1</f>
        <v>-4.6746898041721829E-3</v>
      </c>
      <c r="BK7" s="350"/>
      <c r="BL7" s="348">
        <v>240705114.20000002</v>
      </c>
      <c r="BM7" s="349">
        <v>14.309535452395124</v>
      </c>
      <c r="BN7" s="351">
        <f>BM7/BI7-1</f>
        <v>0.23476326494438138</v>
      </c>
      <c r="BO7" s="350"/>
      <c r="BP7" s="348">
        <v>290609169.1400001</v>
      </c>
      <c r="BQ7" s="349">
        <v>15.66802926667919</v>
      </c>
      <c r="BR7" s="351">
        <f>BQ7/BM7-1</f>
        <v>9.4936262522532289E-2</v>
      </c>
      <c r="BS7" s="350"/>
      <c r="BT7" s="518">
        <v>313797305.58539999</v>
      </c>
      <c r="BU7" s="518">
        <v>15.993295780429609</v>
      </c>
      <c r="BV7" s="518">
        <f>BU7/BQ7-1</f>
        <v>2.0759886786920534E-2</v>
      </c>
      <c r="BW7" s="15">
        <v>311488574.40979999</v>
      </c>
      <c r="BX7" s="16">
        <v>16.091667659507319</v>
      </c>
      <c r="BY7" s="16">
        <f>BX7/BU7-1</f>
        <v>6.15081972022824E-3</v>
      </c>
      <c r="BZ7" s="16">
        <v>328676461.76159996</v>
      </c>
      <c r="CA7" s="16">
        <v>16.112403825565277</v>
      </c>
      <c r="CB7" s="16">
        <f>CA7/BX7-1</f>
        <v>1.2886275367305355E-3</v>
      </c>
      <c r="CC7" s="15">
        <f t="shared" ref="CC7:CD10" si="26">F7</f>
        <v>326375296.65850008</v>
      </c>
      <c r="CD7" s="16">
        <f t="shared" si="26"/>
        <v>15.703284067284784</v>
      </c>
      <c r="CE7" s="352">
        <f>CD7/CA7-1</f>
        <v>-2.5391602811701497E-2</v>
      </c>
      <c r="CF7" s="353">
        <f>CC7/AS7-1</f>
        <v>1.712963984572812</v>
      </c>
      <c r="CG7" s="352">
        <f>(CF7+1)^(1/(2022-2004))-1</f>
        <v>5.701274482339147E-2</v>
      </c>
      <c r="CK7" s="338">
        <v>2</v>
      </c>
      <c r="CL7" s="354" t="s">
        <v>70</v>
      </c>
      <c r="CM7" s="355">
        <v>540922.95217162615</v>
      </c>
      <c r="CN7" s="20">
        <v>9819424.8602000009</v>
      </c>
      <c r="CO7" s="20">
        <v>1620681.3805000002</v>
      </c>
      <c r="CP7" s="343">
        <f>CO7+CN7</f>
        <v>11440106.240700001</v>
      </c>
      <c r="CQ7" s="355">
        <v>541980.73717162607</v>
      </c>
      <c r="CR7" s="20">
        <v>9837708.0032399986</v>
      </c>
      <c r="CS7" s="20">
        <v>1210007.2553475637</v>
      </c>
      <c r="CT7" s="20">
        <f>CS7+CR7</f>
        <v>11047715.258587562</v>
      </c>
      <c r="CU7" s="291"/>
      <c r="CV7" s="106"/>
      <c r="CX7" s="338">
        <v>2</v>
      </c>
      <c r="CY7" s="356" t="s">
        <v>70</v>
      </c>
      <c r="CZ7" s="105">
        <v>22837.065999999999</v>
      </c>
      <c r="DA7" s="357">
        <v>462836.85349999991</v>
      </c>
      <c r="DB7" s="105">
        <v>22840.665999999997</v>
      </c>
      <c r="DC7" s="20">
        <v>462892.65350000001</v>
      </c>
      <c r="DD7" s="20">
        <v>462892.6534999999</v>
      </c>
      <c r="DF7" s="106"/>
      <c r="DH7" s="338">
        <v>2</v>
      </c>
      <c r="DI7" s="356" t="s">
        <v>70</v>
      </c>
      <c r="DJ7" s="105">
        <v>171122.55001421802</v>
      </c>
      <c r="DK7" s="357">
        <v>5190526.0488</v>
      </c>
      <c r="DL7" s="105">
        <v>172014.32501421802</v>
      </c>
      <c r="DM7" s="358">
        <v>5622503.1129124369</v>
      </c>
      <c r="DQ7" s="338">
        <v>2</v>
      </c>
      <c r="DR7" s="359" t="s">
        <v>177</v>
      </c>
      <c r="DS7" s="20">
        <v>403477.63</v>
      </c>
      <c r="DT7" s="20">
        <v>460799.89</v>
      </c>
      <c r="DU7" s="20">
        <v>254199.13</v>
      </c>
      <c r="DV7" s="20">
        <v>1118476.6499999999</v>
      </c>
      <c r="DW7" s="15"/>
      <c r="DX7" s="20"/>
      <c r="DY7" s="20"/>
      <c r="DZ7" s="20"/>
      <c r="ED7" s="338">
        <v>2</v>
      </c>
      <c r="EE7" s="340" t="s">
        <v>178</v>
      </c>
      <c r="EF7" s="20">
        <v>65167.883999999998</v>
      </c>
      <c r="EG7" s="20">
        <v>886859.10999999987</v>
      </c>
      <c r="EH7" s="20">
        <v>2058497.3399999999</v>
      </c>
      <c r="EI7" s="343">
        <f>SUM(EF7:EH7)</f>
        <v>3010524.3339999998</v>
      </c>
      <c r="EJ7" s="20">
        <v>65167.884000000005</v>
      </c>
      <c r="EK7" s="20">
        <v>886859.1100000001</v>
      </c>
      <c r="EL7" s="20">
        <v>2058497.3400000003</v>
      </c>
      <c r="EM7" s="20">
        <f>SUM(EJ7:EL7)</f>
        <v>3010524.3340000003</v>
      </c>
      <c r="EN7" s="103"/>
      <c r="EO7" s="106"/>
      <c r="EQ7" s="338">
        <v>2</v>
      </c>
      <c r="ER7" s="340" t="s">
        <v>178</v>
      </c>
      <c r="ES7" s="20">
        <v>74943.56</v>
      </c>
      <c r="ET7" s="20">
        <v>93660.9</v>
      </c>
      <c r="EU7" s="20">
        <v>304468.08999999997</v>
      </c>
      <c r="EV7" s="343">
        <f>SUM(ES7:EU7)</f>
        <v>473072.54999999993</v>
      </c>
      <c r="EW7" s="20">
        <v>72151.375681818186</v>
      </c>
      <c r="EX7" s="20">
        <v>91744.566666666666</v>
      </c>
      <c r="EY7" s="20">
        <v>283929.38066666666</v>
      </c>
      <c r="EZ7" s="343">
        <f>SUM(EW7:EY7)</f>
        <v>447825.32301515155</v>
      </c>
      <c r="FA7" s="20">
        <f t="shared" si="0"/>
        <v>319869.22406621045</v>
      </c>
      <c r="FB7" s="20">
        <f>(EZ7/$EZ$9)*$FB$9</f>
        <v>128104.0994122023</v>
      </c>
      <c r="FC7" s="20">
        <f t="shared" ref="FC7:FC9" si="27">SUM(FA7:FB7)</f>
        <v>447973.32347841276</v>
      </c>
      <c r="FD7" s="103"/>
      <c r="FE7" s="106"/>
      <c r="FG7" s="338">
        <v>2</v>
      </c>
      <c r="FH7" s="360"/>
      <c r="FI7" s="361" t="s">
        <v>179</v>
      </c>
      <c r="FJ7" s="20">
        <v>182933.261</v>
      </c>
      <c r="FK7" s="20">
        <v>225954.03999999998</v>
      </c>
      <c r="FL7" s="20">
        <v>498555.36999999994</v>
      </c>
      <c r="FM7" s="343">
        <f t="shared" ref="FM7:FM20" si="28">FJ7+FL7+FK7</f>
        <v>907442.67099999986</v>
      </c>
      <c r="FN7" s="20">
        <v>185562.03433333334</v>
      </c>
      <c r="FO7" s="20">
        <v>226230.83999999997</v>
      </c>
      <c r="FP7" s="20">
        <v>498555.36999999994</v>
      </c>
      <c r="FQ7" s="20">
        <v>910348.24433333334</v>
      </c>
      <c r="FR7" s="20">
        <v>910348.24433333334</v>
      </c>
      <c r="FS7" s="300"/>
      <c r="FT7" s="95"/>
      <c r="FV7" s="338">
        <v>2</v>
      </c>
      <c r="FW7" s="340" t="s">
        <v>180</v>
      </c>
      <c r="FX7" s="20">
        <v>14732.02</v>
      </c>
      <c r="FY7" s="20">
        <v>2654</v>
      </c>
      <c r="FZ7" s="20">
        <v>0</v>
      </c>
      <c r="GA7" s="343">
        <v>17386.02</v>
      </c>
      <c r="GB7" s="20">
        <v>0</v>
      </c>
      <c r="GC7" s="20">
        <v>0</v>
      </c>
      <c r="GD7" s="20">
        <v>0</v>
      </c>
      <c r="GE7" s="343">
        <f t="shared" si="1"/>
        <v>0</v>
      </c>
      <c r="GF7" s="300"/>
      <c r="GG7" s="301"/>
      <c r="GI7" s="338">
        <v>2</v>
      </c>
      <c r="GJ7" s="362" t="s">
        <v>181</v>
      </c>
      <c r="GK7" s="20">
        <v>0</v>
      </c>
      <c r="GL7" s="20">
        <v>0</v>
      </c>
      <c r="GM7" s="20">
        <v>0</v>
      </c>
      <c r="GN7" s="343">
        <f t="shared" si="2"/>
        <v>0</v>
      </c>
      <c r="GO7" s="20">
        <v>0</v>
      </c>
      <c r="GP7" s="20">
        <v>0</v>
      </c>
      <c r="GQ7" s="20">
        <v>0</v>
      </c>
      <c r="GR7" s="343">
        <f t="shared" si="3"/>
        <v>0</v>
      </c>
      <c r="GS7" s="300"/>
      <c r="GT7" s="301"/>
      <c r="GV7" s="338">
        <v>2</v>
      </c>
      <c r="GW7" s="340" t="s">
        <v>182</v>
      </c>
      <c r="GX7" s="20">
        <v>27580.2</v>
      </c>
      <c r="GY7" s="20">
        <v>47921.2</v>
      </c>
      <c r="GZ7" s="20">
        <v>186977.88999999998</v>
      </c>
      <c r="HA7" s="343">
        <f t="shared" si="4"/>
        <v>262479.28999999998</v>
      </c>
      <c r="HB7" s="20">
        <v>0</v>
      </c>
      <c r="HC7" s="20">
        <v>0</v>
      </c>
      <c r="HD7" s="20">
        <v>0</v>
      </c>
      <c r="HE7" s="20">
        <v>0</v>
      </c>
      <c r="HF7" s="300"/>
      <c r="HG7" s="301"/>
      <c r="HI7" s="338">
        <v>2</v>
      </c>
      <c r="HJ7" s="363" t="s">
        <v>166</v>
      </c>
      <c r="HK7" s="20">
        <v>47236332.827358045</v>
      </c>
      <c r="HL7" s="20">
        <v>99374623.267200008</v>
      </c>
      <c r="HM7" s="20">
        <v>186734914.08160001</v>
      </c>
      <c r="HN7" s="343">
        <f>SUM(HK7:HM7)</f>
        <v>333345870.17615807</v>
      </c>
      <c r="HO7" s="20">
        <v>45358766.83995606</v>
      </c>
      <c r="HP7" s="20">
        <v>97716155.907619998</v>
      </c>
      <c r="HQ7" s="20">
        <v>184313460.52160001</v>
      </c>
      <c r="HR7" s="20">
        <f>SUM(HO7:HQ7)</f>
        <v>327388383.26917607</v>
      </c>
      <c r="HW7" s="338">
        <v>2</v>
      </c>
      <c r="HX7" s="322">
        <v>2</v>
      </c>
      <c r="HY7" s="322">
        <v>10</v>
      </c>
      <c r="HZ7" s="322">
        <v>9</v>
      </c>
      <c r="IA7" s="347">
        <v>15226542</v>
      </c>
      <c r="IB7" s="347">
        <v>13620382</v>
      </c>
      <c r="IC7" s="342">
        <f t="shared" si="5"/>
        <v>0.9</v>
      </c>
      <c r="ID7" s="342">
        <f t="shared" si="6"/>
        <v>0.89451577383755287</v>
      </c>
      <c r="IE7" s="344">
        <v>1</v>
      </c>
      <c r="IF7" s="344">
        <v>0</v>
      </c>
      <c r="IG7" s="344">
        <v>0</v>
      </c>
      <c r="II7" s="208"/>
      <c r="IK7" s="364">
        <v>2</v>
      </c>
      <c r="IL7" s="365">
        <v>2</v>
      </c>
      <c r="IM7" s="341">
        <f t="shared" si="7"/>
        <v>0.89451577383755287</v>
      </c>
      <c r="IN7" s="20">
        <v>0</v>
      </c>
      <c r="IO7" s="343">
        <f t="shared" ref="IO7:IO25" si="29">IM7*IN7</f>
        <v>0</v>
      </c>
      <c r="IP7" s="20">
        <v>1675007</v>
      </c>
      <c r="IQ7" s="343">
        <v>1500074</v>
      </c>
      <c r="IR7" s="20">
        <v>691463.46779999998</v>
      </c>
      <c r="IS7" s="343">
        <v>617536</v>
      </c>
      <c r="IT7" s="20">
        <v>217265.44049354317</v>
      </c>
      <c r="IU7" s="20">
        <v>194385.98130609185</v>
      </c>
      <c r="IV7" s="20">
        <f t="shared" ref="IV7:IW25" si="30">SUM(IN7,IR7,IT7)</f>
        <v>908728.90829354315</v>
      </c>
      <c r="IW7" s="20">
        <f t="shared" si="30"/>
        <v>811921.98130609188</v>
      </c>
      <c r="IX7" s="314"/>
      <c r="IY7" s="315"/>
      <c r="IZ7" s="314"/>
      <c r="JA7" s="366">
        <v>2</v>
      </c>
      <c r="JB7" s="365">
        <v>2</v>
      </c>
      <c r="JC7" s="367">
        <f t="shared" si="8"/>
        <v>0.9</v>
      </c>
      <c r="JD7" s="368">
        <f t="shared" si="8"/>
        <v>0.89451577383755287</v>
      </c>
      <c r="JE7" s="20">
        <v>384379.79883572698</v>
      </c>
      <c r="JF7" s="343">
        <f>JE7*$JD7</f>
        <v>343833.79320306325</v>
      </c>
      <c r="JG7" s="20">
        <v>15229.213</v>
      </c>
      <c r="JH7" s="343">
        <f t="shared" ref="JH7:JH25" si="31">JG7*$JD7</f>
        <v>13622.771251631921</v>
      </c>
      <c r="JI7" s="20">
        <v>130114.52976427312</v>
      </c>
      <c r="JJ7" s="343">
        <f t="shared" ref="JJ7:JJ25" si="32">JI7*JC7</f>
        <v>117103.07678784581</v>
      </c>
      <c r="JK7" s="20">
        <v>338384.66274016834</v>
      </c>
      <c r="JL7" s="343">
        <v>313094.17698303401</v>
      </c>
      <c r="JM7" s="20">
        <v>63787.200800000013</v>
      </c>
      <c r="JN7" s="343">
        <f t="shared" ref="JN7:JN24" si="33">JM7*$JD7</f>
        <v>57058.657284543384</v>
      </c>
      <c r="JO7" s="20">
        <v>16205.010000000002</v>
      </c>
      <c r="JP7" s="343">
        <f t="shared" ref="JP7:JP25" si="34">JO7*$JD7</f>
        <v>14495.637060195284</v>
      </c>
      <c r="JQ7" s="20">
        <v>44486.950000000004</v>
      </c>
      <c r="JR7" s="343">
        <f t="shared" ref="JR7:JR25" si="35">JQ7*$JD7</f>
        <v>39794.278504922528</v>
      </c>
      <c r="JS7" s="20">
        <v>145665.37959999999</v>
      </c>
      <c r="JT7" s="343">
        <f t="shared" ref="JT7:JT25" si="36">JS7*$JD7</f>
        <v>130299.97975423488</v>
      </c>
      <c r="JU7" s="20">
        <f t="shared" ref="JU7:JV26" si="37">JE7+JG7+JI7+JK7+JM7+JQ7+JS7+JO7</f>
        <v>1138252.7447401683</v>
      </c>
      <c r="JV7" s="20">
        <f t="shared" si="37"/>
        <v>1029302.370829471</v>
      </c>
      <c r="JW7" s="369">
        <f t="shared" si="9"/>
        <v>7.5570741762563713</v>
      </c>
      <c r="KA7" s="338">
        <v>2</v>
      </c>
      <c r="KB7" s="322">
        <v>2</v>
      </c>
      <c r="KC7" s="518">
        <f t="shared" si="10"/>
        <v>9</v>
      </c>
      <c r="KD7" s="518">
        <f t="shared" si="11"/>
        <v>9</v>
      </c>
      <c r="KE7" s="370">
        <f t="shared" si="12"/>
        <v>13620382</v>
      </c>
      <c r="KF7" s="370">
        <f t="shared" si="13"/>
        <v>14202697.161444651</v>
      </c>
      <c r="KG7" s="371">
        <f t="shared" ref="KG7:KG26" si="38">KD7/KC7</f>
        <v>1</v>
      </c>
      <c r="KH7" s="371">
        <f t="shared" ref="KH7:KH26" si="39">KF7/KE7</f>
        <v>1.0427532180407753</v>
      </c>
      <c r="KI7" s="371">
        <f t="shared" ref="KI7:KI25" si="40">LZ8/LY8</f>
        <v>0.99179619312991529</v>
      </c>
      <c r="KJ7" s="322" t="s">
        <v>256</v>
      </c>
      <c r="KK7" s="322"/>
      <c r="KL7" s="323"/>
      <c r="KM7" s="322"/>
      <c r="KN7" s="338">
        <v>2</v>
      </c>
      <c r="KO7" s="322">
        <v>2</v>
      </c>
      <c r="KP7" s="372" t="str">
        <f t="shared" si="14"/>
        <v>Q3</v>
      </c>
      <c r="KQ7" s="373">
        <f t="shared" si="15"/>
        <v>0.99179619312991529</v>
      </c>
      <c r="KR7" s="358">
        <f t="shared" ref="KR7:KR25" si="41">IO7</f>
        <v>0</v>
      </c>
      <c r="KS7" s="358">
        <f t="shared" ref="KS7:KS25" si="42">KR7*KI7</f>
        <v>0</v>
      </c>
      <c r="KT7" s="358">
        <f t="shared" si="16"/>
        <v>1500074</v>
      </c>
      <c r="KU7" s="358">
        <f t="shared" ref="KU7:KU25" si="43">IB7/$IB$26*$KU$26</f>
        <v>1546545.8168502497</v>
      </c>
      <c r="KV7" s="358">
        <f t="shared" si="17"/>
        <v>617536</v>
      </c>
      <c r="KW7" s="358">
        <f t="shared" si="18"/>
        <v>848972.8199000879</v>
      </c>
      <c r="KX7" s="358">
        <f t="shared" ref="KX7:KX25" si="44">IU7</f>
        <v>194385.98130609185</v>
      </c>
      <c r="KY7" s="358">
        <f t="shared" ref="KY7:KY25" si="45">IB7/$IB$26*$KY$26</f>
        <v>30683.343093946034</v>
      </c>
      <c r="KZ7" s="358">
        <f t="shared" ref="KZ7:LA25" si="46">SUM(KR7,KV7,KX7)</f>
        <v>811921.98130609188</v>
      </c>
      <c r="LA7" s="358">
        <f t="shared" si="46"/>
        <v>879656.16299403389</v>
      </c>
      <c r="LB7" s="326"/>
      <c r="LC7" s="323"/>
      <c r="LD7" s="322"/>
      <c r="LE7" s="374">
        <f>LE6+1</f>
        <v>2</v>
      </c>
      <c r="LF7" s="375">
        <v>1</v>
      </c>
      <c r="LG7" s="376">
        <f>KG6</f>
        <v>1</v>
      </c>
      <c r="LH7" s="376">
        <f>KH6</f>
        <v>1.0427532180407753</v>
      </c>
      <c r="LI7" s="377">
        <v>106.45762205358784</v>
      </c>
      <c r="LJ7" s="290">
        <f>JF6*LJ$6/LI7*LH7</f>
        <v>329323.69627138064</v>
      </c>
      <c r="LK7" s="377">
        <v>106.45762205358784</v>
      </c>
      <c r="LL7" s="290">
        <f t="shared" ref="LL7:LL26" si="47">JH6*LL$6/LK7*LH7</f>
        <v>27143.868648701038</v>
      </c>
      <c r="LM7" s="377">
        <v>106.45762205358784</v>
      </c>
      <c r="LN7" s="290">
        <f t="shared" ref="LN7:LN26" si="48">JJ6*LN$6/LM7*LG7</f>
        <v>361341.52825430036</v>
      </c>
      <c r="LO7" s="377">
        <v>118.614283549666</v>
      </c>
      <c r="LP7" s="290">
        <f>JL6*LP$6/LO7*LG7</f>
        <v>854431.6202038381</v>
      </c>
      <c r="LQ7" s="377">
        <v>119.48337591187899</v>
      </c>
      <c r="LR7" s="290">
        <f t="shared" ref="LR7:LR26" si="49">JN6*LR$6/LQ7*LH7</f>
        <v>8829.4757568655496</v>
      </c>
      <c r="LS7" s="377">
        <v>157.07111615098</v>
      </c>
      <c r="LT7" s="290">
        <f t="shared" ref="LT7:LT26" si="50">JP6*LT$6/LS7*LH7</f>
        <v>42251.350426283199</v>
      </c>
      <c r="LU7" s="377">
        <v>112.15574935818501</v>
      </c>
      <c r="LV7" s="290">
        <f t="shared" ref="LV7:LV26" si="51">JR6*LV$6/LU7*$LH7</f>
        <v>44156.246884871587</v>
      </c>
      <c r="LW7" s="377">
        <v>116.939890710382</v>
      </c>
      <c r="LX7" s="378">
        <f t="shared" ref="LX7:LX26" si="52">JT6*LX$6/LW7*$LH7</f>
        <v>192663.46182805207</v>
      </c>
      <c r="LY7" s="379">
        <f t="shared" ref="LY7:LY26" si="53">JV6</f>
        <v>1884160.389821395</v>
      </c>
      <c r="LZ7" s="379">
        <f>LJ7+LL7+LN7+LP7+LR7+LV7+LX7+LT7</f>
        <v>1860141.2482742926</v>
      </c>
      <c r="MA7" s="103"/>
      <c r="MB7" s="335"/>
      <c r="MD7" s="338">
        <v>2</v>
      </c>
      <c r="ME7" s="380">
        <v>2</v>
      </c>
      <c r="MF7" s="20">
        <f t="shared" si="19"/>
        <v>908728.90829354315</v>
      </c>
      <c r="MG7" s="20">
        <f t="shared" si="19"/>
        <v>811921.98130609188</v>
      </c>
      <c r="MH7" s="343">
        <f t="shared" si="20"/>
        <v>879656.16299403389</v>
      </c>
      <c r="MI7" s="20">
        <f t="shared" si="21"/>
        <v>1138252.7447401683</v>
      </c>
      <c r="MJ7" s="20">
        <f t="shared" si="21"/>
        <v>1029302.370829471</v>
      </c>
      <c r="MK7" s="343">
        <f t="shared" ref="MK7:MK25" si="54">LZ8</f>
        <v>1020858.1729682657</v>
      </c>
      <c r="ML7" s="15">
        <f t="shared" ref="ML7:MN26" si="55">MF7-MI7</f>
        <v>-229523.83644662518</v>
      </c>
      <c r="MM7" s="20">
        <f t="shared" si="55"/>
        <v>-217380.38952337916</v>
      </c>
      <c r="MN7" s="20">
        <f t="shared" si="55"/>
        <v>-141202.00997423183</v>
      </c>
      <c r="MP7" s="337"/>
      <c r="MQ7" s="98"/>
      <c r="MR7" s="338">
        <f>MR6+1</f>
        <v>2</v>
      </c>
      <c r="MS7" s="346" t="s">
        <v>183</v>
      </c>
      <c r="MT7" s="20">
        <v>93608877.605802789</v>
      </c>
      <c r="MU7" s="98"/>
      <c r="MV7" s="337"/>
      <c r="MW7" s="98"/>
      <c r="MX7" s="283">
        <v>1</v>
      </c>
      <c r="MY7" s="285" t="s">
        <v>166</v>
      </c>
      <c r="MZ7" s="17">
        <f>N7</f>
        <v>371540376.1521095</v>
      </c>
      <c r="NA7" s="381">
        <f t="shared" ref="NA7:NA12" si="56">MZ7/$MZ$34*100</f>
        <v>16.866645887890453</v>
      </c>
      <c r="NB7" s="97"/>
      <c r="NC7" s="18">
        <f>NC8+NC9</f>
        <v>348269384.43402088</v>
      </c>
      <c r="ND7" s="381">
        <f t="shared" ref="ND7:ND12" si="57">NC7/$ND$34*100</f>
        <v>15.810223485474783</v>
      </c>
      <c r="NF7" s="337"/>
      <c r="NG7" s="98"/>
      <c r="NH7" s="283">
        <v>1</v>
      </c>
      <c r="NI7" s="285" t="str">
        <f t="shared" ref="NI7:NI21" si="58">MY7</f>
        <v>Revenue</v>
      </c>
      <c r="NJ7" s="17">
        <v>341824682.26215607</v>
      </c>
      <c r="NK7" s="17">
        <f>MZ7</f>
        <v>371540376.1521095</v>
      </c>
      <c r="NL7" s="17">
        <f>NK7-NJ7</f>
        <v>29715693.889953434</v>
      </c>
      <c r="NM7" s="383">
        <f>NL7/NJ7</f>
        <v>8.693255762953811E-2</v>
      </c>
      <c r="NO7" s="337"/>
      <c r="NP7" s="98"/>
    </row>
    <row r="8" spans="2:387" x14ac:dyDescent="0.3">
      <c r="B8" s="265">
        <f>B7+1</f>
        <v>3</v>
      </c>
      <c r="C8" s="384"/>
      <c r="D8" s="97"/>
      <c r="E8" s="286" t="s">
        <v>184</v>
      </c>
      <c r="F8" s="18">
        <f>HN8</f>
        <v>228950330.75</v>
      </c>
      <c r="G8" s="313">
        <f t="shared" si="22"/>
        <v>11.015760438596976</v>
      </c>
      <c r="H8" s="18">
        <f>HR8</f>
        <v>229512596.2469697</v>
      </c>
      <c r="I8" s="309">
        <f t="shared" si="23"/>
        <v>11.016280589525049</v>
      </c>
      <c r="J8" s="290">
        <f t="shared" ref="J8:J22" si="59">H8-F8</f>
        <v>562265.49696969986</v>
      </c>
      <c r="K8" s="18">
        <f>IQ26</f>
        <v>229425276</v>
      </c>
      <c r="L8" s="309">
        <f t="shared" si="24"/>
        <v>10.860392278004865</v>
      </c>
      <c r="M8" s="290">
        <f t="shared" ref="M8:M22" si="60">K8-H8</f>
        <v>-87320.24696969986</v>
      </c>
      <c r="N8" s="18">
        <f>KU26</f>
        <v>239866309.41368827</v>
      </c>
      <c r="O8" s="309">
        <f t="shared" si="25"/>
        <v>10.889099438440327</v>
      </c>
      <c r="P8" s="290">
        <f t="shared" ref="P8:P22" si="61">N8-K8</f>
        <v>10441033.413688272</v>
      </c>
      <c r="Q8" s="18">
        <f t="shared" ref="Q8:Q22" si="62">N8-F8</f>
        <v>10915978.663688272</v>
      </c>
      <c r="R8" s="310">
        <f t="shared" ref="R8:R22" si="63">O8/G8-1</f>
        <v>-1.1498162188863015E-2</v>
      </c>
      <c r="V8" s="385">
        <f t="shared" ref="V8:V20" si="64">V7+1</f>
        <v>2</v>
      </c>
      <c r="W8" s="386" t="s">
        <v>185</v>
      </c>
      <c r="X8" s="387">
        <f>X7/F$24*100</f>
        <v>-1.1104857002027421E-2</v>
      </c>
      <c r="Y8" s="309">
        <f>Y7/F$24*100</f>
        <v>8.0679883899836047E-2</v>
      </c>
      <c r="Z8" s="309">
        <f>Z7/F$24*100</f>
        <v>0.18759731573341304</v>
      </c>
      <c r="AA8" s="309">
        <f>AA7/F$24*100</f>
        <v>0.25717234263122168</v>
      </c>
      <c r="AB8" s="342"/>
      <c r="AC8" s="348"/>
      <c r="AF8" s="385">
        <f>AF7+1</f>
        <v>2</v>
      </c>
      <c r="AG8" s="388" t="s">
        <v>186</v>
      </c>
      <c r="AH8" s="389">
        <f>AH7*3600/F$24</f>
        <v>3.0628991641755077</v>
      </c>
      <c r="AI8" s="389">
        <f>AI7*3600/F$24</f>
        <v>0.19180514539301818</v>
      </c>
      <c r="AJ8" s="389">
        <f>AJ7*3600/F$24</f>
        <v>0.91841218892250864</v>
      </c>
      <c r="AN8" s="283">
        <v>3</v>
      </c>
      <c r="AO8" s="390"/>
      <c r="AP8" s="97"/>
      <c r="AQ8" s="391" t="s">
        <v>184</v>
      </c>
      <c r="AR8" s="286"/>
      <c r="AS8" s="392">
        <v>79503570.349999994</v>
      </c>
      <c r="AT8" s="393">
        <v>7.7528122997362363</v>
      </c>
      <c r="AU8" s="394"/>
      <c r="AV8" s="392">
        <v>82983136.416666657</v>
      </c>
      <c r="AW8" s="393">
        <v>7.689473162491363</v>
      </c>
      <c r="AX8" s="383">
        <f>AW8/AT8-1</f>
        <v>-8.1698272570107644E-3</v>
      </c>
      <c r="AY8" s="394"/>
      <c r="AZ8" s="392">
        <v>98672863.5</v>
      </c>
      <c r="BA8" s="393">
        <v>7.6482480685877787</v>
      </c>
      <c r="BB8" s="383">
        <f>BA8/AW8-1</f>
        <v>-5.3612377639442599E-3</v>
      </c>
      <c r="BC8" s="394"/>
      <c r="BD8" s="392">
        <v>111397202</v>
      </c>
      <c r="BE8" s="393">
        <v>7.5748932801967008</v>
      </c>
      <c r="BF8" s="383">
        <f>BE8/BA8-1</f>
        <v>-9.5910576818701854E-3</v>
      </c>
      <c r="BG8" s="394"/>
      <c r="BH8" s="392">
        <v>116322907.89166664</v>
      </c>
      <c r="BI8" s="393">
        <v>7.6546287169214136</v>
      </c>
      <c r="BJ8" s="383">
        <f>BI8/BE8-1</f>
        <v>1.0526278559351843E-2</v>
      </c>
      <c r="BK8" s="394"/>
      <c r="BL8" s="392">
        <v>174683793.20000002</v>
      </c>
      <c r="BM8" s="393">
        <v>10.384673130282241</v>
      </c>
      <c r="BN8" s="383">
        <f>BM8/BI8-1</f>
        <v>0.35665275408143038</v>
      </c>
      <c r="BO8" s="394"/>
      <c r="BP8" s="392">
        <v>208646041.65000004</v>
      </c>
      <c r="BQ8" s="393">
        <v>11.249033527135891</v>
      </c>
      <c r="BR8" s="383">
        <f>BQ8/BM8-1</f>
        <v>8.3234242042065976E-2</v>
      </c>
      <c r="BS8" s="394"/>
      <c r="BT8" s="97">
        <v>219246568.60000002</v>
      </c>
      <c r="BU8" s="97">
        <v>11.174331831570692</v>
      </c>
      <c r="BV8" s="97">
        <f>BU8/BQ8-1</f>
        <v>-6.6407212126265991E-3</v>
      </c>
      <c r="BW8" s="18">
        <v>215103150.44999999</v>
      </c>
      <c r="BX8" s="19">
        <v>11.112344701929782</v>
      </c>
      <c r="BY8" s="19">
        <f t="shared" ref="BY8:BY20" si="65">BX8/BU8-1</f>
        <v>-5.5472784033295808E-3</v>
      </c>
      <c r="BZ8" s="19">
        <v>224292117.40000001</v>
      </c>
      <c r="CA8" s="19">
        <v>10.99526613822796</v>
      </c>
      <c r="CB8" s="19">
        <f t="shared" ref="CB8:CB20" si="66">CA8/BX8-1</f>
        <v>-1.0535901003996928E-2</v>
      </c>
      <c r="CC8" s="18">
        <f t="shared" si="26"/>
        <v>228950330.75</v>
      </c>
      <c r="CD8" s="19">
        <f t="shared" si="26"/>
        <v>11.015760438596976</v>
      </c>
      <c r="CE8" s="395">
        <f t="shared" ref="CE8:CE11" si="67">CD8/CA8-1</f>
        <v>1.8639203554848827E-3</v>
      </c>
      <c r="CF8" s="396">
        <f t="shared" ref="CF8:CF19" si="68">CC8/AS8-1</f>
        <v>1.8797490445031317</v>
      </c>
      <c r="CG8" s="395">
        <f t="shared" ref="CG8:CG11" si="69">(CF8+1)^(1/(2022-2004))-1</f>
        <v>6.0522049356856567E-2</v>
      </c>
      <c r="CK8" s="397">
        <v>3</v>
      </c>
      <c r="CL8" s="398" t="s">
        <v>71</v>
      </c>
      <c r="CM8" s="399">
        <v>999534.17312285723</v>
      </c>
      <c r="CN8" s="400">
        <v>18342221.399999995</v>
      </c>
      <c r="CO8" s="400">
        <v>2810283.7204999998</v>
      </c>
      <c r="CP8" s="401">
        <f>CO8+CN8</f>
        <v>21152505.120499995</v>
      </c>
      <c r="CQ8" s="399">
        <v>999534.17312285712</v>
      </c>
      <c r="CR8" s="400">
        <v>18342221.399999995</v>
      </c>
      <c r="CS8" s="400">
        <v>2082964.1689398875</v>
      </c>
      <c r="CT8" s="400">
        <f>CS8+CR8</f>
        <v>20425185.568939883</v>
      </c>
      <c r="CU8" s="291"/>
      <c r="CV8" s="106"/>
      <c r="CX8" s="397">
        <v>3</v>
      </c>
      <c r="CY8" s="402" t="s">
        <v>71</v>
      </c>
      <c r="CZ8" s="403">
        <v>60825.537499999991</v>
      </c>
      <c r="DA8" s="401">
        <v>1112961.7635000001</v>
      </c>
      <c r="DB8" s="403">
        <v>60825.537500000006</v>
      </c>
      <c r="DC8" s="400">
        <v>1112961.7634999999</v>
      </c>
      <c r="DD8" s="400">
        <v>1112961.7635000001</v>
      </c>
      <c r="DF8" s="106"/>
      <c r="DH8" s="397">
        <v>3</v>
      </c>
      <c r="DI8" s="402" t="s">
        <v>71</v>
      </c>
      <c r="DJ8" s="403">
        <v>233411.5000875534</v>
      </c>
      <c r="DK8" s="401">
        <v>7552344.527499998</v>
      </c>
      <c r="DL8" s="403">
        <v>233411.50008755337</v>
      </c>
      <c r="DM8" s="400">
        <v>8279664.0790601084</v>
      </c>
      <c r="DQ8" s="283">
        <v>3</v>
      </c>
      <c r="DR8" s="404" t="s">
        <v>187</v>
      </c>
      <c r="DS8" s="17">
        <v>2446443.2899999996</v>
      </c>
      <c r="DT8" s="17">
        <v>5284394.74</v>
      </c>
      <c r="DU8" s="17">
        <v>13190868.600000001</v>
      </c>
      <c r="DV8" s="17">
        <v>20921706.630000003</v>
      </c>
      <c r="DW8" s="18"/>
      <c r="DX8" s="17"/>
      <c r="DY8" s="17"/>
      <c r="DZ8" s="17"/>
      <c r="EA8" s="96"/>
      <c r="EB8" s="94"/>
      <c r="EC8" s="96"/>
      <c r="ED8" s="397">
        <v>3</v>
      </c>
      <c r="EE8" s="405" t="s">
        <v>188</v>
      </c>
      <c r="EF8" s="17">
        <v>109637.90600000002</v>
      </c>
      <c r="EG8" s="17">
        <v>202412.08</v>
      </c>
      <c r="EH8" s="17">
        <v>534797.69999999995</v>
      </c>
      <c r="EI8" s="290">
        <f>SUM(EF8:EH8)</f>
        <v>846847.68599999999</v>
      </c>
      <c r="EJ8" s="17">
        <v>110983.40599999999</v>
      </c>
      <c r="EK8" s="17">
        <v>202412.08000000005</v>
      </c>
      <c r="EL8" s="17">
        <v>534797.69999999995</v>
      </c>
      <c r="EM8" s="17">
        <f>SUM(EJ8:EL8)</f>
        <v>848193.18599999999</v>
      </c>
      <c r="EN8" s="103"/>
      <c r="EO8" s="106"/>
      <c r="EQ8" s="397">
        <v>3</v>
      </c>
      <c r="ER8" s="405" t="s">
        <v>188</v>
      </c>
      <c r="ES8" s="17">
        <v>821828.23680000007</v>
      </c>
      <c r="ET8" s="17">
        <v>820963.00999999989</v>
      </c>
      <c r="EU8" s="17">
        <v>978003.62</v>
      </c>
      <c r="EV8" s="290">
        <f>SUM(ES8:EU8)</f>
        <v>2620794.8668</v>
      </c>
      <c r="EW8" s="17">
        <v>774178.11871818162</v>
      </c>
      <c r="EX8" s="17">
        <v>790354.6412999999</v>
      </c>
      <c r="EY8" s="17">
        <v>956467.4888833334</v>
      </c>
      <c r="EZ8" s="290">
        <f>SUM(EW8:EY8)</f>
        <v>2521000.2489015148</v>
      </c>
      <c r="FA8" s="17">
        <f>(EZ8/$EZ$9)*$FA$9</f>
        <v>1800680.6494494905</v>
      </c>
      <c r="FB8" s="17">
        <f>(EZ8/$EZ$9)*$FB$9</f>
        <v>721152.75734985585</v>
      </c>
      <c r="FC8" s="17">
        <f t="shared" si="27"/>
        <v>2521833.4067993462</v>
      </c>
      <c r="FD8" s="103"/>
      <c r="FE8" s="106"/>
      <c r="FG8" s="283">
        <f>FG7+1</f>
        <v>3</v>
      </c>
      <c r="FH8" s="406"/>
      <c r="FI8" s="407" t="s">
        <v>189</v>
      </c>
      <c r="FJ8" s="17">
        <v>152009.04440000001</v>
      </c>
      <c r="FK8" s="17">
        <v>247630.06</v>
      </c>
      <c r="FL8" s="17">
        <v>470678.5</v>
      </c>
      <c r="FM8" s="290">
        <f t="shared" si="28"/>
        <v>870317.60440000007</v>
      </c>
      <c r="FN8" s="17">
        <v>153033.9534909091</v>
      </c>
      <c r="FO8" s="17">
        <v>247702.86000000002</v>
      </c>
      <c r="FP8" s="17">
        <v>470678.49999999988</v>
      </c>
      <c r="FQ8" s="17">
        <v>871415.31349090894</v>
      </c>
      <c r="FR8" s="17">
        <v>871415.31349090894</v>
      </c>
      <c r="FS8" s="103"/>
      <c r="FT8" s="408"/>
      <c r="FV8" s="283">
        <v>3</v>
      </c>
      <c r="FW8" s="286" t="s">
        <v>190</v>
      </c>
      <c r="FX8" s="17">
        <v>9186.32</v>
      </c>
      <c r="FY8" s="17">
        <v>31597.083899999998</v>
      </c>
      <c r="FZ8" s="17">
        <v>271608.79000000004</v>
      </c>
      <c r="GA8" s="290">
        <v>312392.19390000001</v>
      </c>
      <c r="GB8" s="17">
        <v>0</v>
      </c>
      <c r="GC8" s="17">
        <v>0</v>
      </c>
      <c r="GD8" s="17">
        <v>0</v>
      </c>
      <c r="GE8" s="290">
        <f t="shared" si="1"/>
        <v>0</v>
      </c>
      <c r="GF8" s="300"/>
      <c r="GG8" s="301"/>
      <c r="GI8" s="283">
        <v>3</v>
      </c>
      <c r="GJ8" s="97" t="s">
        <v>191</v>
      </c>
      <c r="GK8" s="17">
        <v>0</v>
      </c>
      <c r="GL8" s="17">
        <v>0</v>
      </c>
      <c r="GM8" s="17">
        <v>0</v>
      </c>
      <c r="GN8" s="290">
        <f t="shared" si="2"/>
        <v>0</v>
      </c>
      <c r="GO8" s="17">
        <v>0</v>
      </c>
      <c r="GP8" s="17">
        <v>0</v>
      </c>
      <c r="GQ8" s="17">
        <v>0</v>
      </c>
      <c r="GR8" s="290">
        <f t="shared" si="3"/>
        <v>0</v>
      </c>
      <c r="GS8" s="300"/>
      <c r="GT8" s="301"/>
      <c r="GV8" s="283">
        <v>3</v>
      </c>
      <c r="GW8" s="286" t="s">
        <v>192</v>
      </c>
      <c r="GX8" s="17">
        <v>0</v>
      </c>
      <c r="GY8" s="17">
        <v>0</v>
      </c>
      <c r="GZ8" s="17">
        <v>1064.96</v>
      </c>
      <c r="HA8" s="290">
        <f t="shared" si="4"/>
        <v>1064.96</v>
      </c>
      <c r="HB8" s="17">
        <v>0</v>
      </c>
      <c r="HC8" s="17">
        <v>0</v>
      </c>
      <c r="HD8" s="17">
        <v>1064.96</v>
      </c>
      <c r="HE8" s="17">
        <f>SUM(HB8:HD8)</f>
        <v>1064.96</v>
      </c>
      <c r="HF8" s="300"/>
      <c r="HG8" s="301"/>
      <c r="HI8" s="283">
        <v>3</v>
      </c>
      <c r="HJ8" s="409" t="s">
        <v>193</v>
      </c>
      <c r="HK8" s="17">
        <v>31688402</v>
      </c>
      <c r="HL8" s="17">
        <v>68501616</v>
      </c>
      <c r="HM8" s="17">
        <v>128760312.75</v>
      </c>
      <c r="HN8" s="290">
        <f>SUM(HK8:HM8)</f>
        <v>228950330.75</v>
      </c>
      <c r="HO8" s="17">
        <v>32082866.696969695</v>
      </c>
      <c r="HP8" s="17">
        <v>68669416.799999997</v>
      </c>
      <c r="HQ8" s="17">
        <v>128760312.75</v>
      </c>
      <c r="HR8" s="17">
        <f>SUM(HO8:HQ8)</f>
        <v>229512596.2469697</v>
      </c>
      <c r="HW8" s="283">
        <v>3</v>
      </c>
      <c r="HX8" s="306">
        <v>3</v>
      </c>
      <c r="HY8" s="306">
        <v>10</v>
      </c>
      <c r="HZ8" s="306">
        <v>12</v>
      </c>
      <c r="IA8" s="307">
        <v>19107204</v>
      </c>
      <c r="IB8" s="307">
        <v>22865469</v>
      </c>
      <c r="IC8" s="309">
        <f t="shared" si="5"/>
        <v>1.2</v>
      </c>
      <c r="ID8" s="309">
        <f t="shared" si="6"/>
        <v>1.1966936135710908</v>
      </c>
      <c r="IE8" s="310">
        <v>1</v>
      </c>
      <c r="IF8" s="310">
        <v>0</v>
      </c>
      <c r="IG8" s="310">
        <v>0</v>
      </c>
      <c r="IK8" s="410">
        <v>3</v>
      </c>
      <c r="IL8" s="317">
        <v>3</v>
      </c>
      <c r="IM8" s="313">
        <f t="shared" si="7"/>
        <v>1.1966936135710908</v>
      </c>
      <c r="IN8" s="17">
        <v>0</v>
      </c>
      <c r="IO8" s="290">
        <f t="shared" si="29"/>
        <v>0</v>
      </c>
      <c r="IP8" s="17">
        <v>2081441.3333333333</v>
      </c>
      <c r="IQ8" s="290">
        <v>2485936</v>
      </c>
      <c r="IR8" s="17">
        <v>855076.09094999998</v>
      </c>
      <c r="IS8" s="290">
        <v>1014416</v>
      </c>
      <c r="IT8" s="17">
        <v>225000</v>
      </c>
      <c r="IU8" s="17">
        <v>270000</v>
      </c>
      <c r="IV8" s="17">
        <f t="shared" si="30"/>
        <v>1080076.0909500001</v>
      </c>
      <c r="IW8" s="17">
        <f t="shared" si="30"/>
        <v>1284416</v>
      </c>
      <c r="IX8" s="314"/>
      <c r="IY8" s="315"/>
      <c r="IZ8" s="314"/>
      <c r="JA8" s="316">
        <v>3</v>
      </c>
      <c r="JB8" s="317">
        <v>3</v>
      </c>
      <c r="JC8" s="318">
        <f t="shared" si="8"/>
        <v>1.2</v>
      </c>
      <c r="JD8" s="319">
        <f t="shared" si="8"/>
        <v>1.1966936135710908</v>
      </c>
      <c r="JE8" s="17">
        <v>347788.07813316374</v>
      </c>
      <c r="JF8" s="290">
        <f t="shared" ref="JF8:JF25" si="70">JE8*$JD8</f>
        <v>416195.77197812061</v>
      </c>
      <c r="JG8" s="17">
        <v>43518.84</v>
      </c>
      <c r="JH8" s="290">
        <f t="shared" si="31"/>
        <v>52078.717898022129</v>
      </c>
      <c r="JI8" s="17">
        <v>277626.58186683635</v>
      </c>
      <c r="JJ8" s="290">
        <f t="shared" si="32"/>
        <v>333151.89824020362</v>
      </c>
      <c r="JK8" s="17">
        <v>372202.0235549981</v>
      </c>
      <c r="JL8" s="290">
        <v>425726.49232872151</v>
      </c>
      <c r="JM8" s="17">
        <v>34439.39999999998</v>
      </c>
      <c r="JN8" s="290">
        <f t="shared" si="33"/>
        <v>41213.4100352202</v>
      </c>
      <c r="JO8" s="17">
        <v>47062.981999999989</v>
      </c>
      <c r="JP8" s="290">
        <f t="shared" si="34"/>
        <v>56319.96999501119</v>
      </c>
      <c r="JQ8" s="17">
        <v>26193.61</v>
      </c>
      <c r="JR8" s="290">
        <f t="shared" si="35"/>
        <v>31345.725803371861</v>
      </c>
      <c r="JS8" s="17">
        <v>128791.51393333332</v>
      </c>
      <c r="JT8" s="290">
        <f t="shared" si="36"/>
        <v>154123.98220617214</v>
      </c>
      <c r="JU8" s="17">
        <f t="shared" si="37"/>
        <v>1277623.0294883316</v>
      </c>
      <c r="JV8" s="17">
        <f t="shared" si="37"/>
        <v>1510155.9684848431</v>
      </c>
      <c r="JW8" s="320">
        <f t="shared" si="9"/>
        <v>6.604526539494306</v>
      </c>
      <c r="KA8" s="283">
        <v>3</v>
      </c>
      <c r="KB8" s="306">
        <v>3</v>
      </c>
      <c r="KC8" s="97">
        <f t="shared" si="10"/>
        <v>12</v>
      </c>
      <c r="KD8" s="97">
        <f t="shared" si="11"/>
        <v>12</v>
      </c>
      <c r="KE8" s="289">
        <f t="shared" si="12"/>
        <v>22865469</v>
      </c>
      <c r="KF8" s="289">
        <f t="shared" si="13"/>
        <v>23843041.381761588</v>
      </c>
      <c r="KG8" s="321">
        <f t="shared" si="38"/>
        <v>1</v>
      </c>
      <c r="KH8" s="321">
        <f t="shared" si="39"/>
        <v>1.0427532180407753</v>
      </c>
      <c r="KI8" s="321">
        <f t="shared" si="40"/>
        <v>1.0471430807473108</v>
      </c>
      <c r="KJ8" s="306" t="s">
        <v>440</v>
      </c>
      <c r="KK8" s="322"/>
      <c r="KL8" s="323"/>
      <c r="KM8" s="322"/>
      <c r="KN8" s="283">
        <v>3</v>
      </c>
      <c r="KO8" s="306">
        <v>3</v>
      </c>
      <c r="KP8" s="324" t="str">
        <f t="shared" si="14"/>
        <v>Q4</v>
      </c>
      <c r="KQ8" s="325">
        <f t="shared" si="15"/>
        <v>1.0471430807473108</v>
      </c>
      <c r="KR8" s="17">
        <f t="shared" si="41"/>
        <v>0</v>
      </c>
      <c r="KS8" s="17">
        <f t="shared" si="42"/>
        <v>0</v>
      </c>
      <c r="KT8" s="17">
        <f t="shared" si="16"/>
        <v>2485936</v>
      </c>
      <c r="KU8" s="17">
        <f t="shared" si="43"/>
        <v>2596292.485208496</v>
      </c>
      <c r="KV8" s="17">
        <f t="shared" si="17"/>
        <v>1014416</v>
      </c>
      <c r="KW8" s="17">
        <f t="shared" si="18"/>
        <v>1425228.873556413</v>
      </c>
      <c r="KX8" s="17">
        <f t="shared" si="44"/>
        <v>270000</v>
      </c>
      <c r="KY8" s="17">
        <f t="shared" si="45"/>
        <v>51510.231528821081</v>
      </c>
      <c r="KZ8" s="17">
        <f t="shared" si="46"/>
        <v>1284416</v>
      </c>
      <c r="LA8" s="17">
        <f t="shared" si="46"/>
        <v>1476739.1050852342</v>
      </c>
      <c r="LB8" s="326"/>
      <c r="LC8" s="323"/>
      <c r="LD8" s="322"/>
      <c r="LE8" s="364">
        <f t="shared" ref="LE8:LE28" si="71">LE7+1</f>
        <v>3</v>
      </c>
      <c r="LF8" s="365">
        <v>2</v>
      </c>
      <c r="LG8" s="411">
        <f t="shared" ref="LG8:LH27" si="72">KG7</f>
        <v>1</v>
      </c>
      <c r="LH8" s="411">
        <f t="shared" si="72"/>
        <v>1.0427532180407753</v>
      </c>
      <c r="LI8" s="412">
        <v>106.45762205358784</v>
      </c>
      <c r="LJ8" s="343">
        <f t="shared" ref="LJ8:LJ26" si="73">JF7*LJ$6/LI8*KH7</f>
        <v>316231.07582491002</v>
      </c>
      <c r="LK8" s="412">
        <v>106.45762205358784</v>
      </c>
      <c r="LL8" s="343">
        <f t="shared" si="47"/>
        <v>12529.14545859083</v>
      </c>
      <c r="LM8" s="412">
        <v>106.45762205358784</v>
      </c>
      <c r="LN8" s="343">
        <f t="shared" si="48"/>
        <v>103286.30812571313</v>
      </c>
      <c r="LO8" s="412">
        <v>118.614283549666</v>
      </c>
      <c r="LP8" s="343">
        <f t="shared" ref="LP8:LP26" si="74">JL7*LP$6/LO8*LG8</f>
        <v>327503.78307503246</v>
      </c>
      <c r="LQ8" s="412">
        <v>119.48337591187899</v>
      </c>
      <c r="LR8" s="343">
        <f t="shared" si="49"/>
        <v>62204.589195634449</v>
      </c>
      <c r="LS8" s="412">
        <v>157.07111615098</v>
      </c>
      <c r="LT8" s="343">
        <f t="shared" si="50"/>
        <v>13743.415295531442</v>
      </c>
      <c r="LU8" s="412">
        <v>112.15574935818501</v>
      </c>
      <c r="LV8" s="343">
        <f t="shared" si="51"/>
        <v>43623.684481483106</v>
      </c>
      <c r="LW8" s="412">
        <v>116.939890710382</v>
      </c>
      <c r="LX8" s="343">
        <f t="shared" si="52"/>
        <v>141736.17151137031</v>
      </c>
      <c r="LY8" s="20">
        <f t="shared" si="53"/>
        <v>1029302.370829471</v>
      </c>
      <c r="LZ8" s="20">
        <f t="shared" ref="LZ8:LZ26" si="75">LJ8+LL8+LN8+LP8+LR8+LV8+LX8+LT8</f>
        <v>1020858.1729682657</v>
      </c>
      <c r="MA8" s="103"/>
      <c r="MB8" s="335"/>
      <c r="MD8" s="283">
        <v>3</v>
      </c>
      <c r="ME8" s="336">
        <v>3</v>
      </c>
      <c r="MF8" s="17">
        <f t="shared" si="19"/>
        <v>1080076.0909500001</v>
      </c>
      <c r="MG8" s="17">
        <f t="shared" si="19"/>
        <v>1284416</v>
      </c>
      <c r="MH8" s="290">
        <f t="shared" si="20"/>
        <v>1476739.1050852342</v>
      </c>
      <c r="MI8" s="17">
        <f t="shared" si="21"/>
        <v>1277623.0294883316</v>
      </c>
      <c r="MJ8" s="17">
        <f t="shared" si="21"/>
        <v>1510155.9684848431</v>
      </c>
      <c r="MK8" s="290">
        <f t="shared" si="54"/>
        <v>1581349.3732481573</v>
      </c>
      <c r="ML8" s="17">
        <f t="shared" si="55"/>
        <v>-197546.93853833154</v>
      </c>
      <c r="MM8" s="17">
        <f t="shared" si="55"/>
        <v>-225739.96848484315</v>
      </c>
      <c r="MN8" s="17">
        <f t="shared" si="55"/>
        <v>-104610.26816292317</v>
      </c>
      <c r="MR8" s="283">
        <f t="shared" ref="MR8:MR13" si="76">MR7+1</f>
        <v>3</v>
      </c>
      <c r="MS8" s="413" t="s">
        <v>43</v>
      </c>
      <c r="MT8" s="32">
        <v>239866309.41368827</v>
      </c>
      <c r="MX8" s="338">
        <f>MX7+1</f>
        <v>2</v>
      </c>
      <c r="MY8" s="346" t="s">
        <v>184</v>
      </c>
      <c r="MZ8" s="20">
        <f>N8</f>
        <v>239866309.41368827</v>
      </c>
      <c r="NA8" s="414">
        <f t="shared" si="56"/>
        <v>10.889099438440327</v>
      </c>
      <c r="NC8" s="15">
        <f>MZ8</f>
        <v>239866309.41368827</v>
      </c>
      <c r="ND8" s="414">
        <f t="shared" si="57"/>
        <v>10.889099438440327</v>
      </c>
      <c r="NH8" s="338">
        <f>NH7+1</f>
        <v>2</v>
      </c>
      <c r="NI8" s="346" t="str">
        <f t="shared" si="58"/>
        <v>Less Purchases</v>
      </c>
      <c r="NJ8" s="20">
        <v>240527467.54057765</v>
      </c>
      <c r="NK8" s="20">
        <f>MZ8</f>
        <v>239866309.41368827</v>
      </c>
      <c r="NL8" s="20">
        <f t="shared" ref="NL8:NL32" si="77">NK8-NJ8</f>
        <v>-661158.12688937783</v>
      </c>
      <c r="NM8" s="352">
        <f t="shared" ref="NM8:NM31" si="78">NL8/NJ8</f>
        <v>-2.7487843016425501E-3</v>
      </c>
    </row>
    <row r="9" spans="2:387" ht="17.25" thickBot="1" x14ac:dyDescent="0.35">
      <c r="B9" s="226">
        <f t="shared" ref="B9:B22" si="79">B8+1</f>
        <v>4</v>
      </c>
      <c r="C9" s="339"/>
      <c r="D9" s="518" t="s">
        <v>194</v>
      </c>
      <c r="E9" s="340"/>
      <c r="F9" s="15">
        <f>F7-F8</f>
        <v>97424965.908500075</v>
      </c>
      <c r="G9" s="341">
        <f t="shared" si="22"/>
        <v>4.6875236286878099</v>
      </c>
      <c r="H9" s="15">
        <f>H7-H8</f>
        <v>93109688.080902457</v>
      </c>
      <c r="I9" s="342">
        <f t="shared" si="23"/>
        <v>4.4691335738219662</v>
      </c>
      <c r="J9" s="343">
        <f t="shared" si="59"/>
        <v>-4315277.8275976181</v>
      </c>
      <c r="K9" s="15">
        <f>IS26</f>
        <v>94967116</v>
      </c>
      <c r="L9" s="342">
        <f t="shared" si="24"/>
        <v>4.4954947913881655</v>
      </c>
      <c r="M9" s="343">
        <f t="shared" si="60"/>
        <v>1857427.9190975428</v>
      </c>
      <c r="N9" s="15">
        <f>KW26</f>
        <v>131674066.73842122</v>
      </c>
      <c r="O9" s="342">
        <f t="shared" si="25"/>
        <v>5.9775464494501227</v>
      </c>
      <c r="P9" s="343">
        <f t="shared" si="61"/>
        <v>36706950.738421217</v>
      </c>
      <c r="Q9" s="15">
        <f t="shared" si="62"/>
        <v>34249100.829921141</v>
      </c>
      <c r="R9" s="344">
        <f>O9/G9-1</f>
        <v>0.27520348118723659</v>
      </c>
      <c r="V9" s="275"/>
      <c r="W9" s="276" t="s">
        <v>26</v>
      </c>
      <c r="X9" s="415"/>
      <c r="Y9" s="416"/>
      <c r="Z9" s="416"/>
      <c r="AA9" s="416"/>
      <c r="AB9" s="279"/>
      <c r="AC9" s="349"/>
      <c r="AF9" s="417">
        <f t="shared" ref="AF9:AF21" si="80">AF8+1</f>
        <v>3</v>
      </c>
      <c r="AG9" s="418" t="s">
        <v>195</v>
      </c>
      <c r="AH9" s="419">
        <f>F14/AH7</f>
        <v>21.259502357287285</v>
      </c>
      <c r="AI9" s="419">
        <f>F15/AI7</f>
        <v>19.390851338774322</v>
      </c>
      <c r="AJ9" s="419">
        <f>F16/AJ7</f>
        <v>29.970456808704011</v>
      </c>
      <c r="AL9" s="420"/>
      <c r="AN9" s="338">
        <v>4</v>
      </c>
      <c r="AO9" s="96"/>
      <c r="AQ9" s="518" t="s">
        <v>196</v>
      </c>
      <c r="AR9" s="340"/>
      <c r="AS9" s="348">
        <v>40798541.478400007</v>
      </c>
      <c r="AT9" s="349">
        <v>3.9784808756709964</v>
      </c>
      <c r="AU9" s="350"/>
      <c r="AV9" s="348">
        <v>43143142.145199999</v>
      </c>
      <c r="AW9" s="349">
        <v>3.9977765121497129</v>
      </c>
      <c r="AX9" s="351">
        <f>AW9/AT9-1</f>
        <v>4.8500010636502999E-3</v>
      </c>
      <c r="AY9" s="350"/>
      <c r="AZ9" s="348">
        <v>52055496.75</v>
      </c>
      <c r="BA9" s="349">
        <v>4.0348819154069133</v>
      </c>
      <c r="BB9" s="351">
        <f>BA9/AW9-1</f>
        <v>9.2815101455603344E-3</v>
      </c>
      <c r="BC9" s="350"/>
      <c r="BD9" s="348">
        <v>59830706</v>
      </c>
      <c r="BE9" s="349">
        <v>4.0684254603524463</v>
      </c>
      <c r="BF9" s="351">
        <f>BE9/BA9-1</f>
        <v>8.313389499070345E-3</v>
      </c>
      <c r="BG9" s="350"/>
      <c r="BH9" s="348">
        <v>59786661.226033345</v>
      </c>
      <c r="BI9" s="349">
        <v>3.9342611202245616</v>
      </c>
      <c r="BJ9" s="351">
        <f>BI9/BE9-1</f>
        <v>-3.2976968961417885E-2</v>
      </c>
      <c r="BK9" s="350"/>
      <c r="BL9" s="348">
        <v>66021321</v>
      </c>
      <c r="BM9" s="349">
        <v>3.9248623221128827</v>
      </c>
      <c r="BN9" s="351">
        <f>BM9/BI9-1</f>
        <v>-2.3889614401452208E-3</v>
      </c>
      <c r="BO9" s="350"/>
      <c r="BP9" s="348">
        <v>81963127.490000069</v>
      </c>
      <c r="BQ9" s="349">
        <v>4.4189957395433002</v>
      </c>
      <c r="BR9" s="351">
        <f>BQ9/BM9-1</f>
        <v>0.12589828046870433</v>
      </c>
      <c r="BS9" s="350"/>
      <c r="BT9" s="518">
        <v>94550736.985399961</v>
      </c>
      <c r="BU9" s="518">
        <v>4.8189639488589151</v>
      </c>
      <c r="BV9" s="518">
        <f>BU9/BQ9-1</f>
        <v>9.0511109964761305E-2</v>
      </c>
      <c r="BW9" s="15">
        <v>96385423.959800005</v>
      </c>
      <c r="BX9" s="16">
        <v>4.9793229575775362</v>
      </c>
      <c r="BY9" s="16">
        <f t="shared" si="65"/>
        <v>3.3276656646620495E-2</v>
      </c>
      <c r="BZ9" s="16">
        <v>104384344.36159995</v>
      </c>
      <c r="CA9" s="16">
        <v>5.1171376873373191</v>
      </c>
      <c r="CB9" s="16">
        <f t="shared" si="66"/>
        <v>2.7677403320476746E-2</v>
      </c>
      <c r="CC9" s="15">
        <f t="shared" si="26"/>
        <v>97424965.908500075</v>
      </c>
      <c r="CD9" s="16">
        <f t="shared" si="26"/>
        <v>4.6875236286878099</v>
      </c>
      <c r="CE9" s="352">
        <f t="shared" si="67"/>
        <v>-8.3955931010536666E-2</v>
      </c>
      <c r="CF9" s="353">
        <f t="shared" si="68"/>
        <v>1.387952176184529</v>
      </c>
      <c r="CG9" s="352">
        <f t="shared" si="69"/>
        <v>4.9545869026245137E-2</v>
      </c>
      <c r="CK9" s="421">
        <v>4</v>
      </c>
      <c r="CL9" s="422" t="s">
        <v>72</v>
      </c>
      <c r="CM9" s="423">
        <f t="shared" ref="CM9:CT9" si="81">SUM(CM6:CM8)</f>
        <v>1768304.2516944832</v>
      </c>
      <c r="CN9" s="424">
        <f t="shared" si="81"/>
        <v>32588519.365899995</v>
      </c>
      <c r="CO9" s="424">
        <f t="shared" si="81"/>
        <v>5004749.0414000005</v>
      </c>
      <c r="CP9" s="425">
        <f t="shared" si="81"/>
        <v>37593268.407299995</v>
      </c>
      <c r="CQ9" s="423">
        <f t="shared" si="81"/>
        <v>1771580.4609369074</v>
      </c>
      <c r="CR9" s="424">
        <f t="shared" si="81"/>
        <v>32647547.262273327</v>
      </c>
      <c r="CS9" s="424">
        <f t="shared" si="81"/>
        <v>3737121.3062909618</v>
      </c>
      <c r="CT9" s="424">
        <f t="shared" si="81"/>
        <v>36384668.568564288</v>
      </c>
      <c r="CV9" s="106"/>
      <c r="CX9" s="421">
        <v>4</v>
      </c>
      <c r="CY9" s="422" t="s">
        <v>72</v>
      </c>
      <c r="CZ9" s="426">
        <f>SUM(CZ6:CZ8)</f>
        <v>110734.90699999999</v>
      </c>
      <c r="DA9" s="427">
        <f>SUM(DA6:DA8)</f>
        <v>2147244.1196499998</v>
      </c>
      <c r="DB9" s="426">
        <f>SUM(DB6:DB8)</f>
        <v>110738.507</v>
      </c>
      <c r="DC9" s="428">
        <f>SUM(DC6:DC8)</f>
        <v>2147299.9196499996</v>
      </c>
      <c r="DD9" s="428">
        <f>SUM(DD6:DD8)</f>
        <v>2147299.9196500001</v>
      </c>
      <c r="DF9" s="106"/>
      <c r="DH9" s="421">
        <v>4</v>
      </c>
      <c r="DI9" s="422" t="s">
        <v>72</v>
      </c>
      <c r="DJ9" s="426">
        <f>SUM(DJ6:DJ8)</f>
        <v>530227.1121017714</v>
      </c>
      <c r="DK9" s="429">
        <f>SUM(DK6:DK8)</f>
        <v>15891148.762049999</v>
      </c>
      <c r="DL9" s="426">
        <f>SUM(DL6:DL8)</f>
        <v>532725.79619268049</v>
      </c>
      <c r="DM9" s="430">
        <f>SUM(DM6:DM8)</f>
        <v>17229598.204603884</v>
      </c>
      <c r="DQ9" s="338">
        <v>4</v>
      </c>
      <c r="DR9" s="104" t="s">
        <v>197</v>
      </c>
      <c r="DS9" s="20">
        <v>680166.6370000001</v>
      </c>
      <c r="DT9" s="20">
        <v>746283.70999999985</v>
      </c>
      <c r="DU9" s="20">
        <v>1231080.0325</v>
      </c>
      <c r="DV9" s="20">
        <v>2657530.3794999998</v>
      </c>
      <c r="DW9" s="15"/>
      <c r="DX9" s="20"/>
      <c r="DY9" s="20"/>
      <c r="DZ9" s="20"/>
      <c r="ED9" s="431">
        <v>4</v>
      </c>
      <c r="EE9" s="432" t="s">
        <v>72</v>
      </c>
      <c r="EF9" s="433">
        <f t="shared" ref="EF9:EL9" si="82">SUM(EF6:EF8)</f>
        <v>462450.054</v>
      </c>
      <c r="EG9" s="433">
        <f t="shared" si="82"/>
        <v>1503959.5179999999</v>
      </c>
      <c r="EH9" s="433">
        <f t="shared" si="82"/>
        <v>2975958.0346999997</v>
      </c>
      <c r="EI9" s="434">
        <f t="shared" si="82"/>
        <v>4942367.6066999994</v>
      </c>
      <c r="EJ9" s="433">
        <f t="shared" si="82"/>
        <v>454226.32116146933</v>
      </c>
      <c r="EK9" s="433">
        <f t="shared" si="82"/>
        <v>1511364.4405120066</v>
      </c>
      <c r="EL9" s="433">
        <f t="shared" si="82"/>
        <v>2981156.4268586496</v>
      </c>
      <c r="EM9" s="433">
        <f>SUM(EM6:EM8)</f>
        <v>4946747.1885321252</v>
      </c>
      <c r="EN9" s="103"/>
      <c r="EO9" s="408"/>
      <c r="EQ9" s="431">
        <v>4</v>
      </c>
      <c r="ER9" s="432" t="s">
        <v>72</v>
      </c>
      <c r="ES9" s="433">
        <f t="shared" ref="ES9:EZ9" si="83">SUM(ES6:ES8)</f>
        <v>1110499.9328000001</v>
      </c>
      <c r="ET9" s="433">
        <f t="shared" si="83"/>
        <v>1020073.0299999999</v>
      </c>
      <c r="EU9" s="433">
        <f t="shared" si="83"/>
        <v>1386160.8160000001</v>
      </c>
      <c r="EV9" s="434">
        <f t="shared" si="83"/>
        <v>3516733.7788</v>
      </c>
      <c r="EW9" s="433">
        <f t="shared" si="83"/>
        <v>1044966.8286657071</v>
      </c>
      <c r="EX9" s="433">
        <f t="shared" si="83"/>
        <v>985240.73378442356</v>
      </c>
      <c r="EY9" s="433">
        <f t="shared" si="83"/>
        <v>1344674.172341411</v>
      </c>
      <c r="EZ9" s="434">
        <f t="shared" si="83"/>
        <v>3374881.7347915415</v>
      </c>
      <c r="FA9" s="433">
        <v>2410584.5434436779</v>
      </c>
      <c r="FB9" s="433">
        <v>965412.54600632284</v>
      </c>
      <c r="FC9" s="433">
        <f t="shared" si="27"/>
        <v>3375997.0894500008</v>
      </c>
      <c r="FD9" s="103"/>
      <c r="FE9" s="408"/>
      <c r="FG9" s="338">
        <f t="shared" ref="FG9:FG36" si="84">FG8+1</f>
        <v>4</v>
      </c>
      <c r="FH9" s="360"/>
      <c r="FI9" s="361" t="s">
        <v>198</v>
      </c>
      <c r="FJ9" s="20">
        <v>189887.30370000005</v>
      </c>
      <c r="FK9" s="20">
        <v>178441.77000000002</v>
      </c>
      <c r="FL9" s="20">
        <v>260899.5</v>
      </c>
      <c r="FM9" s="343">
        <f t="shared" si="28"/>
        <v>629228.57370000007</v>
      </c>
      <c r="FN9" s="20">
        <v>191392.48006363638</v>
      </c>
      <c r="FO9" s="20">
        <v>178638.77</v>
      </c>
      <c r="FP9" s="20">
        <v>260899.49999999994</v>
      </c>
      <c r="FQ9" s="20">
        <v>630930.75006363634</v>
      </c>
      <c r="FR9" s="20">
        <v>630930.75006363634</v>
      </c>
      <c r="FS9" s="103"/>
      <c r="FT9" s="408"/>
      <c r="FV9" s="338">
        <v>4</v>
      </c>
      <c r="FW9" s="340" t="s">
        <v>199</v>
      </c>
      <c r="FX9" s="20">
        <v>27606.560000000001</v>
      </c>
      <c r="FY9" s="20">
        <v>0</v>
      </c>
      <c r="FZ9" s="20">
        <v>0</v>
      </c>
      <c r="GA9" s="343">
        <v>27606.560000000001</v>
      </c>
      <c r="GB9" s="20">
        <v>0</v>
      </c>
      <c r="GC9" s="20">
        <v>0</v>
      </c>
      <c r="GD9" s="20">
        <v>0</v>
      </c>
      <c r="GE9" s="343">
        <f t="shared" si="1"/>
        <v>0</v>
      </c>
      <c r="GF9" s="300"/>
      <c r="GG9" s="301"/>
      <c r="GI9" s="338">
        <v>4</v>
      </c>
      <c r="GJ9" s="362" t="s">
        <v>200</v>
      </c>
      <c r="GK9" s="20">
        <v>0</v>
      </c>
      <c r="GL9" s="20">
        <v>0</v>
      </c>
      <c r="GM9" s="20">
        <v>0</v>
      </c>
      <c r="GN9" s="343">
        <f t="shared" si="2"/>
        <v>0</v>
      </c>
      <c r="GO9" s="20">
        <v>0</v>
      </c>
      <c r="GP9" s="20">
        <v>0</v>
      </c>
      <c r="GQ9" s="20">
        <v>0</v>
      </c>
      <c r="GR9" s="343">
        <f t="shared" si="3"/>
        <v>0</v>
      </c>
      <c r="GS9" s="300"/>
      <c r="GT9" s="301"/>
      <c r="GV9" s="338">
        <v>4</v>
      </c>
      <c r="GW9" s="340" t="s">
        <v>201</v>
      </c>
      <c r="GX9" s="20">
        <v>15</v>
      </c>
      <c r="GY9" s="20">
        <v>102.05</v>
      </c>
      <c r="GZ9" s="20">
        <v>28</v>
      </c>
      <c r="HA9" s="343">
        <f t="shared" si="4"/>
        <v>145.05000000000001</v>
      </c>
      <c r="HB9" s="20">
        <v>15</v>
      </c>
      <c r="HC9" s="20">
        <v>102.05</v>
      </c>
      <c r="HD9" s="20">
        <v>28</v>
      </c>
      <c r="HE9" s="20">
        <f>SUM(HB9:HD9)</f>
        <v>145.05000000000001</v>
      </c>
      <c r="HF9" s="300"/>
      <c r="HG9" s="301"/>
      <c r="HI9" s="435">
        <v>4</v>
      </c>
      <c r="HJ9" s="436" t="s">
        <v>202</v>
      </c>
      <c r="HK9" s="436">
        <f>HK7-HK8</f>
        <v>15547930.827358045</v>
      </c>
      <c r="HL9" s="436">
        <f>HL7-HL8</f>
        <v>30873007.267200008</v>
      </c>
      <c r="HM9" s="436">
        <f>HM7-HM8</f>
        <v>57974601.33160001</v>
      </c>
      <c r="HN9" s="436">
        <f>SUM(HK9:HM9)</f>
        <v>104395539.42615807</v>
      </c>
      <c r="HO9" s="436">
        <f>HO7-HO8</f>
        <v>13275900.142986365</v>
      </c>
      <c r="HP9" s="436">
        <f>HP7-HP8</f>
        <v>29046739.107620001</v>
      </c>
      <c r="HQ9" s="436">
        <f>HQ7-HQ8</f>
        <v>55553147.771600008</v>
      </c>
      <c r="HR9" s="436">
        <f>SUM(HO9:HQ9)</f>
        <v>97875787.022206366</v>
      </c>
      <c r="HW9" s="338">
        <v>4</v>
      </c>
      <c r="HX9" s="322">
        <v>4</v>
      </c>
      <c r="HY9" s="322">
        <v>11</v>
      </c>
      <c r="HZ9" s="322">
        <v>10</v>
      </c>
      <c r="IA9" s="347">
        <v>26264261</v>
      </c>
      <c r="IB9" s="347">
        <v>23590721</v>
      </c>
      <c r="IC9" s="342">
        <f t="shared" si="5"/>
        <v>0.90909090909090906</v>
      </c>
      <c r="ID9" s="342">
        <f t="shared" si="6"/>
        <v>0.89820615931283965</v>
      </c>
      <c r="IE9" s="344">
        <v>1</v>
      </c>
      <c r="IF9" s="344">
        <v>0</v>
      </c>
      <c r="IG9" s="344">
        <v>0</v>
      </c>
      <c r="IK9" s="364">
        <v>4</v>
      </c>
      <c r="IL9" s="365">
        <v>4</v>
      </c>
      <c r="IM9" s="341">
        <f t="shared" si="7"/>
        <v>0.89820615931283965</v>
      </c>
      <c r="IN9" s="20">
        <v>7664</v>
      </c>
      <c r="IO9" s="343">
        <f t="shared" si="29"/>
        <v>6883.8520049736035</v>
      </c>
      <c r="IP9" s="20">
        <v>2868589</v>
      </c>
      <c r="IQ9" s="343">
        <v>2570986</v>
      </c>
      <c r="IR9" s="20">
        <v>1172360.9693000002</v>
      </c>
      <c r="IS9" s="343">
        <v>1051227</v>
      </c>
      <c r="IT9" s="20">
        <v>247500</v>
      </c>
      <c r="IU9" s="20">
        <v>225000</v>
      </c>
      <c r="IV9" s="20">
        <f t="shared" si="30"/>
        <v>1427524.9693000002</v>
      </c>
      <c r="IW9" s="20">
        <f t="shared" si="30"/>
        <v>1283110.8520049737</v>
      </c>
      <c r="IX9" s="314"/>
      <c r="IY9" s="315"/>
      <c r="IZ9" s="314"/>
      <c r="JA9" s="366">
        <v>4</v>
      </c>
      <c r="JB9" s="365">
        <v>4</v>
      </c>
      <c r="JC9" s="367">
        <f t="shared" si="8"/>
        <v>0.90909090909090906</v>
      </c>
      <c r="JD9" s="368">
        <f t="shared" si="8"/>
        <v>0.89820615931283965</v>
      </c>
      <c r="JE9" s="20">
        <v>542390.29433242558</v>
      </c>
      <c r="JF9" s="343">
        <f t="shared" si="70"/>
        <v>487178.30312088865</v>
      </c>
      <c r="JG9" s="20">
        <v>53126.451000000001</v>
      </c>
      <c r="JH9" s="343">
        <f t="shared" si="31"/>
        <v>47718.505510631767</v>
      </c>
      <c r="JI9" s="20">
        <v>406583.4446675746</v>
      </c>
      <c r="JJ9" s="343">
        <f t="shared" si="32"/>
        <v>369621.31333415874</v>
      </c>
      <c r="JK9" s="20">
        <v>414159.29905448295</v>
      </c>
      <c r="JL9" s="343">
        <v>370890.46616913925</v>
      </c>
      <c r="JM9" s="20">
        <v>34921.061000000002</v>
      </c>
      <c r="JN9" s="343">
        <f t="shared" si="33"/>
        <v>31366.312079939391</v>
      </c>
      <c r="JO9" s="20">
        <v>43741.144</v>
      </c>
      <c r="JP9" s="343">
        <f t="shared" si="34"/>
        <v>39288.564956189861</v>
      </c>
      <c r="JQ9" s="20">
        <v>36874.22</v>
      </c>
      <c r="JR9" s="343">
        <f t="shared" si="35"/>
        <v>33120.651523856701</v>
      </c>
      <c r="JS9" s="20">
        <v>141721.51135000002</v>
      </c>
      <c r="JT9" s="343">
        <f t="shared" si="36"/>
        <v>127295.13440169452</v>
      </c>
      <c r="JU9" s="20">
        <f t="shared" si="37"/>
        <v>1673517.4254044832</v>
      </c>
      <c r="JV9" s="20">
        <f t="shared" si="37"/>
        <v>1506479.2510964985</v>
      </c>
      <c r="JW9" s="369">
        <f t="shared" si="9"/>
        <v>6.3858974513602131</v>
      </c>
      <c r="KA9" s="338">
        <v>4</v>
      </c>
      <c r="KB9" s="322">
        <v>4</v>
      </c>
      <c r="KC9" s="518">
        <f t="shared" si="10"/>
        <v>10</v>
      </c>
      <c r="KD9" s="518">
        <f t="shared" si="11"/>
        <v>10</v>
      </c>
      <c r="KE9" s="370">
        <f t="shared" si="12"/>
        <v>23590721</v>
      </c>
      <c r="KF9" s="370">
        <f t="shared" si="13"/>
        <v>24599300.238652095</v>
      </c>
      <c r="KG9" s="371">
        <f t="shared" si="38"/>
        <v>1</v>
      </c>
      <c r="KH9" s="371">
        <f t="shared" si="39"/>
        <v>1.0427532180407753</v>
      </c>
      <c r="KI9" s="371">
        <f t="shared" si="40"/>
        <v>1.0470248930578658</v>
      </c>
      <c r="KJ9" s="322" t="s">
        <v>440</v>
      </c>
      <c r="KK9" s="322"/>
      <c r="KL9" s="323"/>
      <c r="KM9" s="322"/>
      <c r="KN9" s="338">
        <v>4</v>
      </c>
      <c r="KO9" s="322">
        <v>4</v>
      </c>
      <c r="KP9" s="437" t="str">
        <f t="shared" si="14"/>
        <v>Q4</v>
      </c>
      <c r="KQ9" s="373">
        <f t="shared" si="15"/>
        <v>1.0470248930578658</v>
      </c>
      <c r="KR9" s="358">
        <f t="shared" si="41"/>
        <v>6883.8520049736035</v>
      </c>
      <c r="KS9" s="358">
        <f t="shared" si="42"/>
        <v>7207.5644093336623</v>
      </c>
      <c r="KT9" s="358">
        <f t="shared" si="16"/>
        <v>2570986</v>
      </c>
      <c r="KU9" s="358">
        <f t="shared" si="43"/>
        <v>2678642.2641473156</v>
      </c>
      <c r="KV9" s="358">
        <f t="shared" si="17"/>
        <v>1051227</v>
      </c>
      <c r="KW9" s="358">
        <f t="shared" si="18"/>
        <v>1470434.5980051239</v>
      </c>
      <c r="KX9" s="358">
        <f t="shared" si="44"/>
        <v>225000</v>
      </c>
      <c r="KY9" s="358">
        <f t="shared" si="45"/>
        <v>53144.044438442164</v>
      </c>
      <c r="KZ9" s="358">
        <f t="shared" si="46"/>
        <v>1283110.8520049737</v>
      </c>
      <c r="LA9" s="358">
        <f t="shared" si="46"/>
        <v>1530786.2068528999</v>
      </c>
      <c r="LB9" s="326"/>
      <c r="LC9" s="323"/>
      <c r="LD9" s="322"/>
      <c r="LE9" s="374">
        <f t="shared" si="71"/>
        <v>4</v>
      </c>
      <c r="LF9" s="375">
        <v>3</v>
      </c>
      <c r="LG9" s="376">
        <f t="shared" si="72"/>
        <v>1</v>
      </c>
      <c r="LH9" s="376">
        <f t="shared" si="72"/>
        <v>1.0427532180407753</v>
      </c>
      <c r="LI9" s="377">
        <v>92.086954396969617</v>
      </c>
      <c r="LJ9" s="290">
        <f t="shared" si="73"/>
        <v>442519.38735999394</v>
      </c>
      <c r="LK9" s="377">
        <v>92.086954396969617</v>
      </c>
      <c r="LL9" s="290">
        <f t="shared" si="47"/>
        <v>55372.600805608912</v>
      </c>
      <c r="LM9" s="377">
        <v>92.086954396969617</v>
      </c>
      <c r="LN9" s="290">
        <f t="shared" si="48"/>
        <v>339699.87870464643</v>
      </c>
      <c r="LO9" s="377">
        <v>119.50379714140099</v>
      </c>
      <c r="LP9" s="290">
        <f t="shared" si="74"/>
        <v>442005.11186349811</v>
      </c>
      <c r="LQ9" s="377">
        <v>120.433043671646</v>
      </c>
      <c r="LR9" s="290">
        <f t="shared" si="49"/>
        <v>44576.016055966364</v>
      </c>
      <c r="LS9" s="377">
        <v>146.40099357416699</v>
      </c>
      <c r="LT9" s="290">
        <f t="shared" si="50"/>
        <v>57289.111119490568</v>
      </c>
      <c r="LU9" s="377">
        <v>116.183248398364</v>
      </c>
      <c r="LV9" s="290">
        <f t="shared" si="51"/>
        <v>33170.961886205107</v>
      </c>
      <c r="LW9" s="377">
        <v>117.5956284153</v>
      </c>
      <c r="LX9" s="378">
        <f t="shared" si="52"/>
        <v>166716.30545274814</v>
      </c>
      <c r="LY9" s="379">
        <f t="shared" si="53"/>
        <v>1510155.9684848431</v>
      </c>
      <c r="LZ9" s="379">
        <f t="shared" si="75"/>
        <v>1581349.3732481573</v>
      </c>
      <c r="MA9" s="103"/>
      <c r="MB9" s="335"/>
      <c r="MD9" s="338">
        <v>4</v>
      </c>
      <c r="ME9" s="380">
        <v>4</v>
      </c>
      <c r="MF9" s="20">
        <f t="shared" si="19"/>
        <v>1427524.9693000002</v>
      </c>
      <c r="MG9" s="20">
        <f t="shared" si="19"/>
        <v>1283110.8520049737</v>
      </c>
      <c r="MH9" s="343">
        <f t="shared" si="20"/>
        <v>1530786.2068528999</v>
      </c>
      <c r="MI9" s="20">
        <f t="shared" si="21"/>
        <v>1673517.4254044832</v>
      </c>
      <c r="MJ9" s="20">
        <f t="shared" si="21"/>
        <v>1506479.2510964985</v>
      </c>
      <c r="MK9" s="343">
        <f t="shared" si="54"/>
        <v>1577321.2767732053</v>
      </c>
      <c r="ML9" s="20">
        <f t="shared" si="55"/>
        <v>-245992.45610448299</v>
      </c>
      <c r="MM9" s="20">
        <f t="shared" si="55"/>
        <v>-223368.39909152477</v>
      </c>
      <c r="MN9" s="20">
        <f t="shared" si="55"/>
        <v>-46535.069920305395</v>
      </c>
      <c r="MR9" s="338">
        <f t="shared" si="76"/>
        <v>4</v>
      </c>
      <c r="MS9" s="346" t="s">
        <v>203</v>
      </c>
      <c r="MT9" s="20">
        <f>MT7+MT8</f>
        <v>333475187.01949108</v>
      </c>
      <c r="MX9" s="283">
        <f t="shared" ref="MX9:MX24" si="85">MX8+1</f>
        <v>3</v>
      </c>
      <c r="MY9" s="388" t="s">
        <v>204</v>
      </c>
      <c r="MZ9" s="17">
        <f>N9</f>
        <v>131674066.73842122</v>
      </c>
      <c r="NA9" s="381">
        <f t="shared" si="56"/>
        <v>5.9775464494501227</v>
      </c>
      <c r="NB9" s="97"/>
      <c r="NC9" s="18">
        <f>MZ30</f>
        <v>108403075.02033257</v>
      </c>
      <c r="ND9" s="381">
        <f t="shared" si="57"/>
        <v>4.9211240470344544</v>
      </c>
      <c r="NH9" s="283">
        <f t="shared" ref="NH9:NH24" si="86">NH8+1</f>
        <v>3</v>
      </c>
      <c r="NI9" s="388" t="str">
        <f t="shared" si="58"/>
        <v>Base Handling Commissions (HC)</v>
      </c>
      <c r="NJ9" s="17">
        <v>101297214.72157842</v>
      </c>
      <c r="NK9" s="17">
        <f>MZ9</f>
        <v>131674066.73842122</v>
      </c>
      <c r="NL9" s="17">
        <f t="shared" si="77"/>
        <v>30376852.016842797</v>
      </c>
      <c r="NM9" s="383">
        <f t="shared" si="78"/>
        <v>0.29987845273273733</v>
      </c>
    </row>
    <row r="10" spans="2:387" x14ac:dyDescent="0.3">
      <c r="B10" s="265">
        <f t="shared" si="79"/>
        <v>5</v>
      </c>
      <c r="C10" s="384"/>
      <c r="D10" s="97" t="s">
        <v>205</v>
      </c>
      <c r="E10" s="286"/>
      <c r="F10" s="18">
        <f>HA14+GE14</f>
        <v>2435490.3939</v>
      </c>
      <c r="G10" s="313">
        <f t="shared" si="22"/>
        <v>0.11718165526042415</v>
      </c>
      <c r="H10" s="18">
        <f>HE14</f>
        <v>215937.90000000002</v>
      </c>
      <c r="I10" s="309">
        <f t="shared" si="23"/>
        <v>1.0364714334689638E-2</v>
      </c>
      <c r="J10" s="290">
        <f t="shared" si="59"/>
        <v>-2219552.4939000001</v>
      </c>
      <c r="K10" s="18">
        <f>IO26</f>
        <v>214148.01155062864</v>
      </c>
      <c r="L10" s="309">
        <f t="shared" si="24"/>
        <v>1.0137206551707684E-2</v>
      </c>
      <c r="M10" s="290">
        <f t="shared" si="60"/>
        <v>-1789.8884493713849</v>
      </c>
      <c r="N10" s="18">
        <f>KS26</f>
        <v>206414.10650998526</v>
      </c>
      <c r="O10" s="309">
        <f t="shared" si="25"/>
        <v>9.3704853206691176E-3</v>
      </c>
      <c r="P10" s="290">
        <f t="shared" si="61"/>
        <v>-7733.9050406433817</v>
      </c>
      <c r="Q10" s="18">
        <f t="shared" si="62"/>
        <v>-2229076.2873900146</v>
      </c>
      <c r="R10" s="310">
        <f t="shared" si="63"/>
        <v>-0.92003453697727533</v>
      </c>
      <c r="V10" s="249">
        <f>V8+1</f>
        <v>3</v>
      </c>
      <c r="W10" s="345" t="s">
        <v>176</v>
      </c>
      <c r="X10" s="20">
        <v>-3111364.09752667</v>
      </c>
      <c r="Y10" s="20">
        <v>1633.1694328281737</v>
      </c>
      <c r="Z10" s="20">
        <v>6268605.8697440196</v>
      </c>
      <c r="AA10" s="20">
        <f>SUM(X10:Z10)</f>
        <v>3158874.9416501778</v>
      </c>
      <c r="AB10" s="20"/>
      <c r="AF10" s="385">
        <f t="shared" si="80"/>
        <v>4</v>
      </c>
      <c r="AG10" s="282" t="s">
        <v>26</v>
      </c>
      <c r="AH10" s="97"/>
      <c r="AI10" s="97"/>
      <c r="AJ10" s="97"/>
      <c r="AN10" s="283">
        <v>5</v>
      </c>
      <c r="AO10" s="390"/>
      <c r="AP10" s="97"/>
      <c r="AQ10" s="97" t="s">
        <v>205</v>
      </c>
      <c r="AR10" s="286"/>
      <c r="AS10" s="392">
        <v>351000.77</v>
      </c>
      <c r="AT10" s="393">
        <v>3.4227935612112924E-2</v>
      </c>
      <c r="AU10" s="394"/>
      <c r="AV10" s="392">
        <v>392967.44999999995</v>
      </c>
      <c r="AW10" s="393">
        <v>3.6413574986312203E-2</v>
      </c>
      <c r="AX10" s="383">
        <f>AW10/AT10-1</f>
        <v>6.3855424965384211E-2</v>
      </c>
      <c r="AY10" s="394"/>
      <c r="AZ10" s="392">
        <v>419971.50999999995</v>
      </c>
      <c r="BA10" s="393">
        <v>3.2552478729062043E-2</v>
      </c>
      <c r="BB10" s="383">
        <f>BA10/AW10-1</f>
        <v>-0.10603452857077444</v>
      </c>
      <c r="BC10" s="394"/>
      <c r="BD10" s="392">
        <v>465783.3236</v>
      </c>
      <c r="BE10" s="393">
        <v>3.1672779070028398E-2</v>
      </c>
      <c r="BF10" s="383">
        <f>BE10/BA10-1</f>
        <v>-2.7024045276413E-2</v>
      </c>
      <c r="BG10" s="394"/>
      <c r="BH10" s="392">
        <v>1360261.3124000002</v>
      </c>
      <c r="BI10" s="393">
        <v>8.9511992892331985E-2</v>
      </c>
      <c r="BJ10" s="383">
        <f>BI10/BE10-1</f>
        <v>1.8261489998847686</v>
      </c>
      <c r="BK10" s="394"/>
      <c r="BL10" s="392">
        <v>1390376.9787000001</v>
      </c>
      <c r="BM10" s="393">
        <v>8.2655695684016636E-2</v>
      </c>
      <c r="BN10" s="383">
        <f>BM10/BI10-1</f>
        <v>-7.6596408891960732E-2</v>
      </c>
      <c r="BO10" s="394"/>
      <c r="BP10" s="392">
        <v>770218.05</v>
      </c>
      <c r="BQ10" s="393">
        <v>4.1525871275282955E-2</v>
      </c>
      <c r="BR10" s="383">
        <f>BQ10/BM10-1</f>
        <v>-0.49760423729259196</v>
      </c>
      <c r="BS10" s="394"/>
      <c r="BT10" s="97">
        <v>1472526.2590000001</v>
      </c>
      <c r="BU10" s="97">
        <v>7.5050191908761346E-2</v>
      </c>
      <c r="BV10" s="97">
        <f>BU10/BQ10-1</f>
        <v>0.8073116735164747</v>
      </c>
      <c r="BW10" s="18">
        <v>11886052.370000001</v>
      </c>
      <c r="BX10" s="19">
        <v>0.6140398725184244</v>
      </c>
      <c r="BY10" s="19">
        <f t="shared" si="65"/>
        <v>7.1817228830662252</v>
      </c>
      <c r="BZ10" s="19">
        <v>6021594.1700000009</v>
      </c>
      <c r="CA10" s="19">
        <v>0.29519107155012259</v>
      </c>
      <c r="CB10" s="19">
        <f t="shared" si="66"/>
        <v>-0.51926400098510661</v>
      </c>
      <c r="CC10" s="18">
        <f t="shared" si="26"/>
        <v>2435490.3939</v>
      </c>
      <c r="CD10" s="19">
        <f t="shared" si="26"/>
        <v>0.11718165526042415</v>
      </c>
      <c r="CE10" s="395">
        <f t="shared" si="67"/>
        <v>-0.60303116674541068</v>
      </c>
      <c r="CF10" s="396">
        <f t="shared" si="68"/>
        <v>5.9387038492821533</v>
      </c>
      <c r="CG10" s="395">
        <f t="shared" si="69"/>
        <v>0.11362170310487252</v>
      </c>
      <c r="CV10" s="106"/>
      <c r="CX10" s="438"/>
      <c r="CY10" s="439"/>
      <c r="CZ10" s="440"/>
      <c r="DA10" s="518"/>
      <c r="DB10" s="440"/>
      <c r="DF10" s="106"/>
      <c r="DK10" s="518"/>
      <c r="DQ10" s="283">
        <v>5</v>
      </c>
      <c r="DR10" s="441" t="s">
        <v>206</v>
      </c>
      <c r="DS10" s="17"/>
      <c r="DT10" s="17"/>
      <c r="DU10" s="17"/>
      <c r="DV10" s="17"/>
      <c r="DW10" s="18">
        <v>2956744.1022613361</v>
      </c>
      <c r="DX10" s="17">
        <v>4613072.506473586</v>
      </c>
      <c r="DY10" s="17">
        <v>6654109.4956538649</v>
      </c>
      <c r="DZ10" s="17">
        <v>14223926.104388788</v>
      </c>
      <c r="EN10" s="103"/>
      <c r="EO10" s="408"/>
      <c r="FB10" s="442" t="s">
        <v>207</v>
      </c>
      <c r="FD10" s="103"/>
      <c r="FE10" s="408"/>
      <c r="FG10" s="283">
        <f t="shared" si="84"/>
        <v>5</v>
      </c>
      <c r="FH10" s="406"/>
      <c r="FI10" s="407" t="s">
        <v>208</v>
      </c>
      <c r="FJ10" s="17">
        <v>38248.1</v>
      </c>
      <c r="FK10" s="17">
        <v>179410.81</v>
      </c>
      <c r="FL10" s="17">
        <v>22647.81</v>
      </c>
      <c r="FM10" s="290">
        <f t="shared" si="28"/>
        <v>240306.72</v>
      </c>
      <c r="FN10" s="17">
        <v>0</v>
      </c>
      <c r="FO10" s="17">
        <v>0</v>
      </c>
      <c r="FP10" s="17">
        <v>0</v>
      </c>
      <c r="FQ10" s="17">
        <v>0</v>
      </c>
      <c r="FR10" s="17">
        <v>0</v>
      </c>
      <c r="FS10" s="103"/>
      <c r="FT10" s="408"/>
      <c r="FV10" s="283">
        <v>5</v>
      </c>
      <c r="FW10" s="286" t="s">
        <v>209</v>
      </c>
      <c r="FX10" s="17">
        <v>0</v>
      </c>
      <c r="FY10" s="17">
        <v>0</v>
      </c>
      <c r="FZ10" s="17">
        <v>0</v>
      </c>
      <c r="GA10" s="290">
        <v>0</v>
      </c>
      <c r="GB10" s="17">
        <v>0</v>
      </c>
      <c r="GC10" s="17">
        <v>0</v>
      </c>
      <c r="GD10" s="17">
        <v>0</v>
      </c>
      <c r="GE10" s="290">
        <f t="shared" si="1"/>
        <v>0</v>
      </c>
      <c r="GF10" s="300"/>
      <c r="GG10" s="301"/>
      <c r="GI10" s="283">
        <v>5</v>
      </c>
      <c r="GJ10" s="97" t="s">
        <v>210</v>
      </c>
      <c r="GK10" s="17">
        <v>0</v>
      </c>
      <c r="GL10" s="17">
        <v>0</v>
      </c>
      <c r="GM10" s="17">
        <v>0</v>
      </c>
      <c r="GN10" s="290">
        <f t="shared" si="2"/>
        <v>0</v>
      </c>
      <c r="GO10" s="17">
        <v>0</v>
      </c>
      <c r="GP10" s="17">
        <v>0</v>
      </c>
      <c r="GQ10" s="17">
        <v>0</v>
      </c>
      <c r="GR10" s="290">
        <f t="shared" si="3"/>
        <v>0</v>
      </c>
      <c r="GS10" s="300"/>
      <c r="GT10" s="301"/>
      <c r="GV10" s="283">
        <v>5</v>
      </c>
      <c r="GW10" s="286" t="s">
        <v>211</v>
      </c>
      <c r="GX10" s="17">
        <v>0</v>
      </c>
      <c r="GY10" s="17">
        <v>9554</v>
      </c>
      <c r="GZ10" s="17">
        <v>149254.37</v>
      </c>
      <c r="HA10" s="290">
        <f t="shared" si="4"/>
        <v>158808.37</v>
      </c>
      <c r="HB10" s="17">
        <v>0</v>
      </c>
      <c r="HC10" s="17">
        <v>9554</v>
      </c>
      <c r="HD10" s="17">
        <v>149254.37</v>
      </c>
      <c r="HE10" s="17">
        <f>SUM(HB10:HD10)</f>
        <v>158808.37</v>
      </c>
      <c r="HF10" s="300"/>
      <c r="HG10" s="301"/>
      <c r="HS10" s="305"/>
      <c r="HT10" s="443"/>
      <c r="HW10" s="283">
        <v>5</v>
      </c>
      <c r="HX10" s="306">
        <v>5</v>
      </c>
      <c r="HY10" s="306">
        <v>10</v>
      </c>
      <c r="HZ10" s="306">
        <v>11</v>
      </c>
      <c r="IA10" s="307">
        <v>27116157</v>
      </c>
      <c r="IB10" s="307">
        <v>29685742</v>
      </c>
      <c r="IC10" s="309">
        <f t="shared" si="5"/>
        <v>1.1000000000000001</v>
      </c>
      <c r="ID10" s="309">
        <f t="shared" si="6"/>
        <v>1.0947621375698628</v>
      </c>
      <c r="IE10" s="310">
        <v>1</v>
      </c>
      <c r="IF10" s="310">
        <v>0</v>
      </c>
      <c r="IG10" s="310">
        <v>0</v>
      </c>
      <c r="IK10" s="410">
        <v>5</v>
      </c>
      <c r="IL10" s="317">
        <v>5</v>
      </c>
      <c r="IM10" s="313">
        <f t="shared" si="7"/>
        <v>1.0947621375698628</v>
      </c>
      <c r="IN10" s="17">
        <v>0</v>
      </c>
      <c r="IO10" s="290">
        <f t="shared" si="29"/>
        <v>0</v>
      </c>
      <c r="IP10" s="17">
        <v>2939956</v>
      </c>
      <c r="IQ10" s="290">
        <v>3212808</v>
      </c>
      <c r="IR10" s="17">
        <v>1207459.2149000003</v>
      </c>
      <c r="IS10" s="290">
        <v>1313046</v>
      </c>
      <c r="IT10" s="17">
        <v>225000</v>
      </c>
      <c r="IU10" s="17">
        <v>247500</v>
      </c>
      <c r="IV10" s="17">
        <f t="shared" si="30"/>
        <v>1432459.2149000003</v>
      </c>
      <c r="IW10" s="17">
        <f t="shared" si="30"/>
        <v>1560546</v>
      </c>
      <c r="IX10" s="314"/>
      <c r="IY10" s="315"/>
      <c r="IZ10" s="314"/>
      <c r="JA10" s="316">
        <v>5</v>
      </c>
      <c r="JB10" s="317">
        <v>5</v>
      </c>
      <c r="JC10" s="318">
        <f t="shared" si="8"/>
        <v>1.1000000000000001</v>
      </c>
      <c r="JD10" s="319">
        <f t="shared" si="8"/>
        <v>1.0947621375698628</v>
      </c>
      <c r="JE10" s="17">
        <v>376466.18503357458</v>
      </c>
      <c r="JF10" s="290">
        <f t="shared" si="70"/>
        <v>412140.92545012763</v>
      </c>
      <c r="JG10" s="17">
        <v>40193.666000000005</v>
      </c>
      <c r="JH10" s="290">
        <f t="shared" si="31"/>
        <v>44002.503706929121</v>
      </c>
      <c r="JI10" s="17">
        <v>312146.12896642543</v>
      </c>
      <c r="JJ10" s="290">
        <f t="shared" si="32"/>
        <v>343360.74186306802</v>
      </c>
      <c r="JK10" s="17">
        <v>390543.88054603967</v>
      </c>
      <c r="JL10" s="290">
        <v>418603.62896724488</v>
      </c>
      <c r="JM10" s="17">
        <v>78887.505000000005</v>
      </c>
      <c r="JN10" s="290">
        <f t="shared" si="33"/>
        <v>86363.053601353255</v>
      </c>
      <c r="JO10" s="17">
        <v>67866.460000000021</v>
      </c>
      <c r="JP10" s="290">
        <f t="shared" si="34"/>
        <v>74297.630818899619</v>
      </c>
      <c r="JQ10" s="17">
        <v>71839.23</v>
      </c>
      <c r="JR10" s="290">
        <f t="shared" si="35"/>
        <v>78646.868996173012</v>
      </c>
      <c r="JS10" s="17">
        <v>222001.96544999999</v>
      </c>
      <c r="JT10" s="290">
        <f t="shared" si="36"/>
        <v>243039.34624075281</v>
      </c>
      <c r="JU10" s="17">
        <f t="shared" si="37"/>
        <v>1559945.0209960397</v>
      </c>
      <c r="JV10" s="17">
        <f t="shared" si="37"/>
        <v>1700454.6996445484</v>
      </c>
      <c r="JW10" s="320">
        <f t="shared" si="9"/>
        <v>5.7281866144513032</v>
      </c>
      <c r="KA10" s="283">
        <v>5</v>
      </c>
      <c r="KB10" s="306">
        <v>5</v>
      </c>
      <c r="KC10" s="97">
        <f t="shared" si="10"/>
        <v>11</v>
      </c>
      <c r="KD10" s="97">
        <f t="shared" si="11"/>
        <v>11</v>
      </c>
      <c r="KE10" s="289">
        <f t="shared" si="12"/>
        <v>29685742</v>
      </c>
      <c r="KF10" s="289">
        <f t="shared" si="13"/>
        <v>30954903.0004282</v>
      </c>
      <c r="KG10" s="321">
        <f t="shared" si="38"/>
        <v>1</v>
      </c>
      <c r="KH10" s="321">
        <f t="shared" si="39"/>
        <v>1.0427532180407753</v>
      </c>
      <c r="KI10" s="321">
        <f t="shared" si="40"/>
        <v>1.0496140641149478</v>
      </c>
      <c r="KJ10" s="306" t="s">
        <v>440</v>
      </c>
      <c r="KK10" s="322"/>
      <c r="KL10" s="323"/>
      <c r="KM10" s="322"/>
      <c r="KN10" s="283">
        <v>5</v>
      </c>
      <c r="KO10" s="306">
        <v>5</v>
      </c>
      <c r="KP10" s="324" t="str">
        <f t="shared" si="14"/>
        <v>Q4</v>
      </c>
      <c r="KQ10" s="325">
        <f t="shared" si="15"/>
        <v>1.0496140641149478</v>
      </c>
      <c r="KR10" s="17">
        <f t="shared" si="41"/>
        <v>0</v>
      </c>
      <c r="KS10" s="17">
        <f t="shared" si="42"/>
        <v>0</v>
      </c>
      <c r="KT10" s="17">
        <f t="shared" si="16"/>
        <v>3212808</v>
      </c>
      <c r="KU10" s="17">
        <f t="shared" si="43"/>
        <v>3370710.1687893751</v>
      </c>
      <c r="KV10" s="17">
        <f t="shared" si="17"/>
        <v>1313046</v>
      </c>
      <c r="KW10" s="17">
        <f t="shared" si="18"/>
        <v>1850343.7052328251</v>
      </c>
      <c r="KX10" s="17">
        <f t="shared" si="44"/>
        <v>247500</v>
      </c>
      <c r="KY10" s="17">
        <f t="shared" si="45"/>
        <v>66874.61532168214</v>
      </c>
      <c r="KZ10" s="17">
        <f t="shared" si="46"/>
        <v>1560546</v>
      </c>
      <c r="LA10" s="17">
        <f t="shared" si="46"/>
        <v>1917218.3205545072</v>
      </c>
      <c r="LB10" s="326"/>
      <c r="LC10" s="323"/>
      <c r="LD10" s="322"/>
      <c r="LE10" s="364">
        <f t="shared" si="71"/>
        <v>5</v>
      </c>
      <c r="LF10" s="365">
        <v>4</v>
      </c>
      <c r="LG10" s="411">
        <f t="shared" si="72"/>
        <v>1</v>
      </c>
      <c r="LH10" s="411">
        <f t="shared" si="72"/>
        <v>1.0427532180407753</v>
      </c>
      <c r="LI10" s="412">
        <v>92.086954396969617</v>
      </c>
      <c r="LJ10" s="343">
        <f t="shared" si="73"/>
        <v>517991.43275167723</v>
      </c>
      <c r="LK10" s="412">
        <v>92.086954396969617</v>
      </c>
      <c r="LL10" s="343">
        <f t="shared" si="47"/>
        <v>50736.613022126883</v>
      </c>
      <c r="LM10" s="412">
        <v>92.086954396969617</v>
      </c>
      <c r="LN10" s="343">
        <f t="shared" si="48"/>
        <v>376886.08700568299</v>
      </c>
      <c r="LO10" s="412">
        <v>119.50379714140099</v>
      </c>
      <c r="LP10" s="343">
        <f t="shared" si="74"/>
        <v>385072.305675574</v>
      </c>
      <c r="LQ10" s="412">
        <v>120.433043671646</v>
      </c>
      <c r="LR10" s="343">
        <f t="shared" si="49"/>
        <v>33925.492447651559</v>
      </c>
      <c r="LS10" s="412">
        <v>146.40099357416699</v>
      </c>
      <c r="LT10" s="343">
        <f t="shared" si="50"/>
        <v>39964.633569582154</v>
      </c>
      <c r="LU10" s="412">
        <v>116.183248398364</v>
      </c>
      <c r="LV10" s="343">
        <f t="shared" si="51"/>
        <v>35049.240085739235</v>
      </c>
      <c r="LW10" s="412">
        <v>117.5956284153</v>
      </c>
      <c r="LX10" s="343">
        <f t="shared" si="52"/>
        <v>137695.47221517132</v>
      </c>
      <c r="LY10" s="20">
        <f t="shared" si="53"/>
        <v>1506479.2510964985</v>
      </c>
      <c r="LZ10" s="20">
        <f t="shared" si="75"/>
        <v>1577321.2767732053</v>
      </c>
      <c r="MA10" s="103"/>
      <c r="MB10" s="335"/>
      <c r="MD10" s="283">
        <v>5</v>
      </c>
      <c r="ME10" s="336">
        <v>5</v>
      </c>
      <c r="MF10" s="17">
        <f t="shared" si="19"/>
        <v>1432459.2149000003</v>
      </c>
      <c r="MG10" s="17">
        <f t="shared" si="19"/>
        <v>1560546</v>
      </c>
      <c r="MH10" s="290">
        <f t="shared" si="20"/>
        <v>1917218.3205545072</v>
      </c>
      <c r="MI10" s="17">
        <f t="shared" si="21"/>
        <v>1559945.0209960397</v>
      </c>
      <c r="MJ10" s="17">
        <f t="shared" si="21"/>
        <v>1700454.6996445484</v>
      </c>
      <c r="MK10" s="290">
        <f t="shared" si="54"/>
        <v>1784821.1681372772</v>
      </c>
      <c r="ML10" s="17">
        <f t="shared" si="55"/>
        <v>-127485.80609603948</v>
      </c>
      <c r="MM10" s="17">
        <f t="shared" si="55"/>
        <v>-139908.69964454835</v>
      </c>
      <c r="MN10" s="17">
        <f t="shared" si="55"/>
        <v>132397.15241722995</v>
      </c>
      <c r="MR10" s="283">
        <f>MR9+1</f>
        <v>5</v>
      </c>
      <c r="MS10" s="444" t="s">
        <v>212</v>
      </c>
      <c r="MT10" s="445"/>
      <c r="MX10" s="338">
        <f t="shared" si="85"/>
        <v>4</v>
      </c>
      <c r="MY10" s="346" t="s">
        <v>205</v>
      </c>
      <c r="MZ10" s="20">
        <f>N10</f>
        <v>206414.10650998526</v>
      </c>
      <c r="NA10" s="414">
        <f t="shared" si="56"/>
        <v>9.3704853206691176E-3</v>
      </c>
      <c r="NC10" s="15">
        <f>MZ10</f>
        <v>206414.10650998526</v>
      </c>
      <c r="ND10" s="414">
        <f t="shared" si="57"/>
        <v>9.3704853206691176E-3</v>
      </c>
      <c r="NH10" s="338">
        <f t="shared" si="86"/>
        <v>4</v>
      </c>
      <c r="NI10" s="346" t="str">
        <f t="shared" si="58"/>
        <v>Misc Revenue</v>
      </c>
      <c r="NJ10" s="20">
        <v>588123.20368232101</v>
      </c>
      <c r="NK10" s="20">
        <f>MZ10</f>
        <v>206414.10650998526</v>
      </c>
      <c r="NL10" s="20">
        <f t="shared" si="77"/>
        <v>-381709.09717233572</v>
      </c>
      <c r="NM10" s="352">
        <f t="shared" si="78"/>
        <v>-0.64902914012302537</v>
      </c>
    </row>
    <row r="11" spans="2:387" x14ac:dyDescent="0.3">
      <c r="B11" s="226">
        <f>B10+1</f>
        <v>6</v>
      </c>
      <c r="C11" s="339"/>
      <c r="D11" s="518" t="s">
        <v>45</v>
      </c>
      <c r="E11" s="340"/>
      <c r="F11" s="15">
        <v>4535083.1237580404</v>
      </c>
      <c r="G11" s="341">
        <f t="shared" si="22"/>
        <v>0.21820186542990008</v>
      </c>
      <c r="H11" s="15">
        <v>4550161.0413039094</v>
      </c>
      <c r="I11" s="342">
        <f t="shared" si="23"/>
        <v>0.2184013059770839</v>
      </c>
      <c r="J11" s="343">
        <f t="shared" si="59"/>
        <v>15077.917545869015</v>
      </c>
      <c r="K11" s="15">
        <v>4747991.9641978256</v>
      </c>
      <c r="L11" s="342">
        <f t="shared" si="24"/>
        <v>0.22475751653450432</v>
      </c>
      <c r="M11" s="343">
        <f t="shared" si="60"/>
        <v>197830.92289391626</v>
      </c>
      <c r="N11" s="15">
        <f>MZ11</f>
        <v>4758928.0499999989</v>
      </c>
      <c r="O11" s="342">
        <f t="shared" si="25"/>
        <v>0.2160388463202649</v>
      </c>
      <c r="P11" s="343">
        <f t="shared" si="61"/>
        <v>10936.085802173242</v>
      </c>
      <c r="Q11" s="15">
        <f t="shared" si="62"/>
        <v>223844.92624195851</v>
      </c>
      <c r="R11" s="344">
        <f>O11/G11-1</f>
        <v>-9.9129267541944177E-3</v>
      </c>
      <c r="V11" s="385">
        <f t="shared" si="64"/>
        <v>4</v>
      </c>
      <c r="W11" s="386" t="s">
        <v>185</v>
      </c>
      <c r="X11" s="309">
        <f>X10/$H$24*100</f>
        <v>-0.149341083997174</v>
      </c>
      <c r="Y11" s="309">
        <f>Y10/$H$24*100</f>
        <v>7.8389827035509342E-5</v>
      </c>
      <c r="Z11" s="309">
        <f>Z10/$H$24*100</f>
        <v>0.30088423160851074</v>
      </c>
      <c r="AA11" s="309">
        <f>AA10/$H$24*100</f>
        <v>0.15162153743837226</v>
      </c>
      <c r="AB11" s="342"/>
      <c r="AC11" s="348"/>
      <c r="AF11" s="249">
        <f t="shared" si="80"/>
        <v>5</v>
      </c>
      <c r="AG11" s="346" t="s">
        <v>78</v>
      </c>
      <c r="AH11" s="105">
        <f>CQ9</f>
        <v>1771580.4609369074</v>
      </c>
      <c r="AI11" s="105">
        <f>DB9</f>
        <v>110738.507</v>
      </c>
      <c r="AJ11" s="347">
        <f>DL9</f>
        <v>532725.79619268049</v>
      </c>
      <c r="AN11" s="446">
        <v>6</v>
      </c>
      <c r="AO11" s="447"/>
      <c r="AP11" s="447"/>
      <c r="AQ11" s="447" t="s">
        <v>213</v>
      </c>
      <c r="AR11" s="448"/>
      <c r="AS11" s="449">
        <v>41149542.24840001</v>
      </c>
      <c r="AT11" s="450">
        <v>4.0127088112831091</v>
      </c>
      <c r="AU11" s="451"/>
      <c r="AV11" s="449">
        <v>43536109.595200002</v>
      </c>
      <c r="AW11" s="450">
        <v>4.0341900871360252</v>
      </c>
      <c r="AX11" s="452">
        <f>AW11/AT11-1</f>
        <v>5.3533104102929663E-3</v>
      </c>
      <c r="AY11" s="451"/>
      <c r="AZ11" s="449">
        <v>52475468.259999998</v>
      </c>
      <c r="BA11" s="450">
        <v>4.067434394135975</v>
      </c>
      <c r="BB11" s="452">
        <f>BA11/AW11-1</f>
        <v>8.2406397026151268E-3</v>
      </c>
      <c r="BC11" s="451"/>
      <c r="BD11" s="449">
        <v>60296489.323600002</v>
      </c>
      <c r="BE11" s="450">
        <v>4.1000982394224748</v>
      </c>
      <c r="BF11" s="452">
        <f>BE11/BA11-1</f>
        <v>8.0305770471900129E-3</v>
      </c>
      <c r="BG11" s="451"/>
      <c r="BH11" s="449">
        <v>61146922.538433343</v>
      </c>
      <c r="BI11" s="450">
        <v>4.0237731131168939</v>
      </c>
      <c r="BJ11" s="452">
        <f>BI11/BE11-1</f>
        <v>-1.8615438423331909E-2</v>
      </c>
      <c r="BK11" s="451"/>
      <c r="BL11" s="449">
        <v>67411697.978699997</v>
      </c>
      <c r="BM11" s="450">
        <v>4.0075180177968992</v>
      </c>
      <c r="BN11" s="452">
        <f>BM11/BI11-1</f>
        <v>-4.0397643860697885E-3</v>
      </c>
      <c r="BO11" s="451"/>
      <c r="BP11" s="449">
        <v>82733345.540000066</v>
      </c>
      <c r="BQ11" s="450">
        <v>4.4605216108185832</v>
      </c>
      <c r="BR11" s="452">
        <f>BQ11/BM11-1</f>
        <v>0.11303844200074709</v>
      </c>
      <c r="BS11" s="451"/>
      <c r="BT11" s="453">
        <v>96023263.244399965</v>
      </c>
      <c r="BU11" s="453">
        <v>4.8940141407676769</v>
      </c>
      <c r="BV11" s="453">
        <f>BU11/BQ11-1</f>
        <v>9.7184268516421479E-2</v>
      </c>
      <c r="BW11" s="22">
        <v>108271476.32980001</v>
      </c>
      <c r="BX11" s="23">
        <v>5.5933628300959608</v>
      </c>
      <c r="BY11" s="23">
        <f t="shared" si="65"/>
        <v>0.14289878803222744</v>
      </c>
      <c r="BZ11" s="23">
        <v>110405938.53159995</v>
      </c>
      <c r="CA11" s="23">
        <v>5.4123287588874414</v>
      </c>
      <c r="CB11" s="23">
        <f t="shared" si="66"/>
        <v>-3.2365873036956816E-2</v>
      </c>
      <c r="CC11" s="22">
        <f>F12</f>
        <v>104395539.42615813</v>
      </c>
      <c r="CD11" s="23">
        <f>G12</f>
        <v>5.0229071493781339</v>
      </c>
      <c r="CE11" s="352">
        <f t="shared" si="67"/>
        <v>-7.1950841653853459E-2</v>
      </c>
      <c r="CF11" s="454">
        <f t="shared" si="68"/>
        <v>1.5369793616651295</v>
      </c>
      <c r="CG11" s="352">
        <f t="shared" si="69"/>
        <v>5.3081666178149911E-2</v>
      </c>
      <c r="CP11" s="347"/>
      <c r="CT11" s="347"/>
      <c r="CV11" s="106"/>
      <c r="CX11" s="438"/>
      <c r="CY11" s="455"/>
      <c r="CZ11" s="105"/>
      <c r="DA11" s="518"/>
      <c r="DB11" s="105"/>
      <c r="DC11" s="344"/>
      <c r="DF11" s="106"/>
      <c r="DQ11" s="456">
        <v>6</v>
      </c>
      <c r="DR11" s="457" t="s">
        <v>214</v>
      </c>
      <c r="DS11" s="458"/>
      <c r="DT11" s="458"/>
      <c r="DU11" s="458"/>
      <c r="DV11" s="458"/>
      <c r="DW11" s="459">
        <v>1232847.5543047281</v>
      </c>
      <c r="DX11" s="458">
        <v>2154432.7668835837</v>
      </c>
      <c r="DY11" s="458">
        <v>3352134.5294021191</v>
      </c>
      <c r="DZ11" s="458">
        <v>6739414.8505904311</v>
      </c>
      <c r="EN11" s="103"/>
      <c r="EO11" s="408"/>
      <c r="FD11" s="103"/>
      <c r="FE11" s="408"/>
      <c r="FG11" s="338">
        <f t="shared" si="84"/>
        <v>6</v>
      </c>
      <c r="FH11" s="360"/>
      <c r="FI11" s="361" t="s">
        <v>215</v>
      </c>
      <c r="FJ11" s="20">
        <v>47401.000000000007</v>
      </c>
      <c r="FK11" s="20">
        <v>42434.12000000001</v>
      </c>
      <c r="FL11" s="20">
        <v>52030.61</v>
      </c>
      <c r="FM11" s="343">
        <f t="shared" si="28"/>
        <v>141865.73000000004</v>
      </c>
      <c r="FN11" s="20">
        <v>47464.545454545463</v>
      </c>
      <c r="FO11" s="20">
        <v>42434.12</v>
      </c>
      <c r="FP11" s="20">
        <v>52030.609999999993</v>
      </c>
      <c r="FQ11" s="20">
        <v>141929.27545454545</v>
      </c>
      <c r="FR11" s="20">
        <v>141929.27545454545</v>
      </c>
      <c r="FS11" s="103"/>
      <c r="FT11" s="301"/>
      <c r="FV11" s="338">
        <v>6</v>
      </c>
      <c r="FW11" s="340" t="s">
        <v>216</v>
      </c>
      <c r="FX11" s="20">
        <v>50000</v>
      </c>
      <c r="FY11" s="20">
        <v>60000</v>
      </c>
      <c r="FZ11" s="20">
        <v>40000</v>
      </c>
      <c r="GA11" s="343">
        <v>150000</v>
      </c>
      <c r="GB11" s="20">
        <v>0</v>
      </c>
      <c r="GC11" s="20">
        <v>0</v>
      </c>
      <c r="GD11" s="20">
        <v>0</v>
      </c>
      <c r="GE11" s="343">
        <f t="shared" ref="GE11:GE12" si="87">SUM(GB11:GD11)</f>
        <v>0</v>
      </c>
      <c r="GF11" s="300"/>
      <c r="GG11" s="301"/>
      <c r="GI11" s="456">
        <v>6</v>
      </c>
      <c r="GJ11" s="460" t="s">
        <v>217</v>
      </c>
      <c r="GK11" s="20">
        <v>0</v>
      </c>
      <c r="GL11" s="20">
        <v>0</v>
      </c>
      <c r="GM11" s="20">
        <v>0</v>
      </c>
      <c r="GN11" s="343">
        <f t="shared" si="2"/>
        <v>0</v>
      </c>
      <c r="GO11" s="20">
        <v>0</v>
      </c>
      <c r="GP11" s="20">
        <v>0</v>
      </c>
      <c r="GQ11" s="20">
        <v>0</v>
      </c>
      <c r="GR11" s="343">
        <f t="shared" ref="GR11" si="88">SUM(GO11:GQ11)</f>
        <v>0</v>
      </c>
      <c r="GS11" s="300"/>
      <c r="GT11" s="301"/>
      <c r="GV11" s="338">
        <v>6</v>
      </c>
      <c r="GW11" s="340" t="s">
        <v>218</v>
      </c>
      <c r="GX11" s="20">
        <v>63092.39</v>
      </c>
      <c r="GY11" s="20">
        <v>69565.040000000008</v>
      </c>
      <c r="GZ11" s="20">
        <v>89479.24</v>
      </c>
      <c r="HA11" s="343">
        <f t="shared" si="4"/>
        <v>222136.66999999998</v>
      </c>
      <c r="HB11" s="20">
        <v>9823</v>
      </c>
      <c r="HC11" s="20">
        <v>5642.7500000000073</v>
      </c>
      <c r="HD11" s="20">
        <v>26053.030000000021</v>
      </c>
      <c r="HE11" s="20">
        <f>SUM(HB11:HD11)</f>
        <v>41518.780000000028</v>
      </c>
      <c r="HF11" s="300"/>
      <c r="HG11" s="301"/>
      <c r="HW11" s="338">
        <v>6</v>
      </c>
      <c r="HX11" s="322">
        <v>6</v>
      </c>
      <c r="HY11" s="322">
        <v>10</v>
      </c>
      <c r="HZ11" s="322">
        <v>10</v>
      </c>
      <c r="IA11" s="347">
        <v>30951872</v>
      </c>
      <c r="IB11" s="347">
        <v>32402786</v>
      </c>
      <c r="IC11" s="342">
        <f t="shared" si="5"/>
        <v>1</v>
      </c>
      <c r="ID11" s="342">
        <f t="shared" si="6"/>
        <v>1.0468764538700599</v>
      </c>
      <c r="IE11" s="344">
        <v>0.9</v>
      </c>
      <c r="IF11" s="344">
        <v>0.1</v>
      </c>
      <c r="IG11" s="344">
        <v>0</v>
      </c>
      <c r="IK11" s="364">
        <v>6</v>
      </c>
      <c r="IL11" s="365">
        <v>6</v>
      </c>
      <c r="IM11" s="341">
        <f t="shared" si="7"/>
        <v>1.0468764538700599</v>
      </c>
      <c r="IN11" s="20">
        <v>0</v>
      </c>
      <c r="IO11" s="343">
        <f t="shared" si="29"/>
        <v>0</v>
      </c>
      <c r="IP11" s="20">
        <v>3369027</v>
      </c>
      <c r="IQ11" s="343">
        <v>3511615</v>
      </c>
      <c r="IR11" s="20">
        <v>1407569.3480000002</v>
      </c>
      <c r="IS11" s="343">
        <v>1440397</v>
      </c>
      <c r="IT11" s="20">
        <v>225000</v>
      </c>
      <c r="IU11" s="20">
        <v>225000</v>
      </c>
      <c r="IV11" s="20">
        <f t="shared" si="30"/>
        <v>1632569.3480000002</v>
      </c>
      <c r="IW11" s="20">
        <f t="shared" si="30"/>
        <v>1665397</v>
      </c>
      <c r="IX11" s="314"/>
      <c r="IY11" s="315"/>
      <c r="IZ11" s="314"/>
      <c r="JA11" s="366">
        <v>6</v>
      </c>
      <c r="JB11" s="365">
        <v>6</v>
      </c>
      <c r="JC11" s="367">
        <f t="shared" si="8"/>
        <v>1</v>
      </c>
      <c r="JD11" s="368">
        <f t="shared" si="8"/>
        <v>1.0468764538700599</v>
      </c>
      <c r="JE11" s="20">
        <v>638908.69272277597</v>
      </c>
      <c r="JF11" s="343">
        <f t="shared" si="70"/>
        <v>668858.46658437548</v>
      </c>
      <c r="JG11" s="20">
        <v>31460.6597</v>
      </c>
      <c r="JH11" s="343">
        <f t="shared" si="31"/>
        <v>32935.423863148702</v>
      </c>
      <c r="JI11" s="20">
        <v>378386.21757722402</v>
      </c>
      <c r="JJ11" s="343">
        <f t="shared" si="32"/>
        <v>378386.21757722402</v>
      </c>
      <c r="JK11" s="20">
        <v>469212.57936610642</v>
      </c>
      <c r="JL11" s="343">
        <v>466986.50599135744</v>
      </c>
      <c r="JM11" s="20">
        <v>81754.570000000007</v>
      </c>
      <c r="JN11" s="343">
        <f t="shared" si="33"/>
        <v>85586.934329271593</v>
      </c>
      <c r="JO11" s="20">
        <v>60206.102500000008</v>
      </c>
      <c r="JP11" s="343">
        <f t="shared" si="34"/>
        <v>63028.351086537354</v>
      </c>
      <c r="JQ11" s="20">
        <v>23702.44</v>
      </c>
      <c r="JR11" s="343">
        <f t="shared" si="35"/>
        <v>24813.526335267859</v>
      </c>
      <c r="JS11" s="20">
        <v>197875.27570000003</v>
      </c>
      <c r="JT11" s="343">
        <f t="shared" si="36"/>
        <v>207150.96693337648</v>
      </c>
      <c r="JU11" s="20">
        <f t="shared" si="37"/>
        <v>1881506.5375661065</v>
      </c>
      <c r="JV11" s="20">
        <f t="shared" si="37"/>
        <v>1927746.3927005585</v>
      </c>
      <c r="JW11" s="369">
        <f t="shared" si="9"/>
        <v>5.9493229770445</v>
      </c>
      <c r="KA11" s="338">
        <v>6</v>
      </c>
      <c r="KB11" s="322">
        <v>6</v>
      </c>
      <c r="KC11" s="518">
        <f t="shared" si="10"/>
        <v>10</v>
      </c>
      <c r="KD11" s="518">
        <f t="shared" si="11"/>
        <v>10</v>
      </c>
      <c r="KE11" s="370">
        <f t="shared" si="12"/>
        <v>32402786</v>
      </c>
      <c r="KF11" s="370">
        <f t="shared" si="13"/>
        <v>33788109.374986582</v>
      </c>
      <c r="KG11" s="371">
        <f t="shared" si="38"/>
        <v>1</v>
      </c>
      <c r="KH11" s="371">
        <f t="shared" si="39"/>
        <v>1.0427532180407753</v>
      </c>
      <c r="KI11" s="371">
        <f t="shared" si="40"/>
        <v>0.93856304009952685</v>
      </c>
      <c r="KJ11" s="322" t="s">
        <v>441</v>
      </c>
      <c r="KK11" s="322"/>
      <c r="KL11" s="323"/>
      <c r="KM11" s="322"/>
      <c r="KN11" s="338">
        <v>6</v>
      </c>
      <c r="KO11" s="322">
        <v>6</v>
      </c>
      <c r="KP11" s="437" t="str">
        <f t="shared" si="14"/>
        <v>Q2</v>
      </c>
      <c r="KQ11" s="373">
        <f t="shared" si="15"/>
        <v>0.93856304009952685</v>
      </c>
      <c r="KR11" s="358">
        <f t="shared" si="41"/>
        <v>0</v>
      </c>
      <c r="KS11" s="358">
        <f t="shared" si="42"/>
        <v>0</v>
      </c>
      <c r="KT11" s="358">
        <f t="shared" si="16"/>
        <v>3511615</v>
      </c>
      <c r="KU11" s="358">
        <f t="shared" si="43"/>
        <v>3679220.8282112675</v>
      </c>
      <c r="KV11" s="358">
        <f t="shared" si="17"/>
        <v>1440397</v>
      </c>
      <c r="KW11" s="358">
        <f t="shared" si="18"/>
        <v>2019699.9322808341</v>
      </c>
      <c r="KX11" s="358">
        <f t="shared" si="44"/>
        <v>225000</v>
      </c>
      <c r="KY11" s="358">
        <f t="shared" si="45"/>
        <v>72995.441687150276</v>
      </c>
      <c r="KZ11" s="358">
        <f t="shared" si="46"/>
        <v>1665397</v>
      </c>
      <c r="LA11" s="358">
        <f t="shared" si="46"/>
        <v>2092695.3739679842</v>
      </c>
      <c r="LB11" s="326"/>
      <c r="LC11" s="323"/>
      <c r="LD11" s="322"/>
      <c r="LE11" s="374">
        <f t="shared" si="71"/>
        <v>6</v>
      </c>
      <c r="LF11" s="375">
        <v>5</v>
      </c>
      <c r="LG11" s="376">
        <f t="shared" si="72"/>
        <v>1</v>
      </c>
      <c r="LH11" s="376">
        <f t="shared" si="72"/>
        <v>1.0427532180407753</v>
      </c>
      <c r="LI11" s="377">
        <v>92.086954396969617</v>
      </c>
      <c r="LJ11" s="290">
        <f t="shared" si="73"/>
        <v>438208.07926361909</v>
      </c>
      <c r="LK11" s="377">
        <v>92.086954396969617</v>
      </c>
      <c r="LL11" s="290">
        <f t="shared" si="47"/>
        <v>46785.580954243276</v>
      </c>
      <c r="LM11" s="377">
        <v>92.086954396969617</v>
      </c>
      <c r="LN11" s="290">
        <f t="shared" si="48"/>
        <v>350109.37346880755</v>
      </c>
      <c r="LO11" s="377">
        <v>119.50379714140099</v>
      </c>
      <c r="LP11" s="290">
        <f t="shared" si="74"/>
        <v>434609.88964075956</v>
      </c>
      <c r="LQ11" s="377">
        <v>120.433043671646</v>
      </c>
      <c r="LR11" s="290">
        <f t="shared" si="49"/>
        <v>93409.423308731493</v>
      </c>
      <c r="LS11" s="377">
        <v>146.40099357416699</v>
      </c>
      <c r="LT11" s="290">
        <f t="shared" si="50"/>
        <v>75576.127406954634</v>
      </c>
      <c r="LU11" s="377">
        <v>116.183248398364</v>
      </c>
      <c r="LV11" s="290">
        <f t="shared" si="51"/>
        <v>83226.412120940367</v>
      </c>
      <c r="LW11" s="377">
        <v>117.5956284153</v>
      </c>
      <c r="LX11" s="378">
        <f t="shared" si="52"/>
        <v>262896.28197322128</v>
      </c>
      <c r="LY11" s="379">
        <f t="shared" si="53"/>
        <v>1700454.6996445484</v>
      </c>
      <c r="LZ11" s="379">
        <f t="shared" si="75"/>
        <v>1784821.1681372772</v>
      </c>
      <c r="MA11" s="103"/>
      <c r="MB11" s="335"/>
      <c r="MD11" s="338">
        <v>6</v>
      </c>
      <c r="ME11" s="380">
        <v>6</v>
      </c>
      <c r="MF11" s="20">
        <f t="shared" si="19"/>
        <v>1632569.3480000002</v>
      </c>
      <c r="MG11" s="20">
        <f t="shared" si="19"/>
        <v>1665397</v>
      </c>
      <c r="MH11" s="343">
        <f t="shared" si="20"/>
        <v>2092695.3739679842</v>
      </c>
      <c r="MI11" s="20">
        <f t="shared" si="21"/>
        <v>1881506.5375661065</v>
      </c>
      <c r="MJ11" s="20">
        <f t="shared" si="21"/>
        <v>1927746.3927005585</v>
      </c>
      <c r="MK11" s="343">
        <f t="shared" si="54"/>
        <v>1809311.5148739326</v>
      </c>
      <c r="ML11" s="20">
        <f t="shared" si="55"/>
        <v>-248937.1895661063</v>
      </c>
      <c r="MM11" s="20">
        <f>MG11-MJ11</f>
        <v>-262349.39270055853</v>
      </c>
      <c r="MN11" s="20">
        <f t="shared" si="55"/>
        <v>283383.85909405164</v>
      </c>
      <c r="MR11" s="338">
        <f>MR10+1</f>
        <v>6</v>
      </c>
      <c r="MS11" s="346" t="s">
        <v>219</v>
      </c>
      <c r="MT11" s="462">
        <v>5.3900000000000003E-2</v>
      </c>
      <c r="MX11" s="283">
        <f>MX10+1</f>
        <v>5</v>
      </c>
      <c r="MY11" s="388" t="s">
        <v>45</v>
      </c>
      <c r="MZ11" s="17">
        <v>4758928.0499999989</v>
      </c>
      <c r="NA11" s="381">
        <f t="shared" si="56"/>
        <v>0.2160388463202649</v>
      </c>
      <c r="NB11" s="97"/>
      <c r="NC11" s="18">
        <f>MZ11</f>
        <v>4758928.0499999989</v>
      </c>
      <c r="ND11" s="381">
        <f t="shared" si="57"/>
        <v>0.2160388463202649</v>
      </c>
      <c r="NH11" s="283">
        <f t="shared" si="86"/>
        <v>5</v>
      </c>
      <c r="NI11" s="388" t="str">
        <f t="shared" si="58"/>
        <v>Depot Viability Handling Commissions</v>
      </c>
      <c r="NJ11" s="17">
        <v>4822773.09</v>
      </c>
      <c r="NK11" s="17">
        <f>NC11</f>
        <v>4758928.0499999989</v>
      </c>
      <c r="NL11" s="17">
        <f t="shared" si="77"/>
        <v>-63845.040000000969</v>
      </c>
      <c r="NM11" s="395">
        <f t="shared" si="78"/>
        <v>-1.3238242564715183E-2</v>
      </c>
    </row>
    <row r="12" spans="2:387" ht="17.25" thickBot="1" x14ac:dyDescent="0.35">
      <c r="B12" s="265">
        <f>B11+1</f>
        <v>7</v>
      </c>
      <c r="C12" s="285" t="s">
        <v>220</v>
      </c>
      <c r="D12" s="284"/>
      <c r="E12" s="297"/>
      <c r="F12" s="18">
        <f>F9+F10+F11</f>
        <v>104395539.42615813</v>
      </c>
      <c r="G12" s="313">
        <f t="shared" si="22"/>
        <v>5.0229071493781339</v>
      </c>
      <c r="H12" s="18">
        <f>H9+H10+H11</f>
        <v>97875787.022206366</v>
      </c>
      <c r="I12" s="309">
        <f t="shared" si="23"/>
        <v>4.69789959413374</v>
      </c>
      <c r="J12" s="290">
        <f t="shared" si="59"/>
        <v>-6519752.4039517641</v>
      </c>
      <c r="K12" s="18">
        <f>K9+K10+K11</f>
        <v>99929255.975748464</v>
      </c>
      <c r="L12" s="309">
        <f t="shared" si="24"/>
        <v>4.7303895144743775</v>
      </c>
      <c r="M12" s="290">
        <f t="shared" si="60"/>
        <v>2053468.9535420984</v>
      </c>
      <c r="N12" s="18">
        <f>N9+N10+N11</f>
        <v>136639408.8949312</v>
      </c>
      <c r="O12" s="309">
        <f t="shared" si="25"/>
        <v>6.2029557810910561</v>
      </c>
      <c r="P12" s="290">
        <f t="shared" si="61"/>
        <v>36710152.919182733</v>
      </c>
      <c r="Q12" s="18">
        <f t="shared" si="62"/>
        <v>32243869.468773067</v>
      </c>
      <c r="R12" s="310">
        <f t="shared" si="63"/>
        <v>0.23493339546581482</v>
      </c>
      <c r="V12" s="249">
        <f t="shared" si="64"/>
        <v>5</v>
      </c>
      <c r="W12" s="463" t="s">
        <v>134</v>
      </c>
      <c r="X12" s="20">
        <f>X10-X7</f>
        <v>-2880561.9937847108</v>
      </c>
      <c r="Y12" s="20">
        <f t="shared" ref="Y12:AA12" si="89">Y10-Y7</f>
        <v>-1675208.4981671721</v>
      </c>
      <c r="Z12" s="20">
        <f t="shared" si="89"/>
        <v>2369604.2779440177</v>
      </c>
      <c r="AA12" s="20">
        <f t="shared" si="89"/>
        <v>-2186166.2140078652</v>
      </c>
      <c r="AB12" s="20"/>
      <c r="AC12" s="349"/>
      <c r="AF12" s="385">
        <f t="shared" si="80"/>
        <v>6</v>
      </c>
      <c r="AG12" s="388" t="s">
        <v>186</v>
      </c>
      <c r="AH12" s="389">
        <f>AH11*3600/$H$24</f>
        <v>3.0612009950408803</v>
      </c>
      <c r="AI12" s="389">
        <f>AI11*3600/$H$24</f>
        <v>0.19135051175630136</v>
      </c>
      <c r="AJ12" s="389">
        <f>AJ11*3600/$H$24</f>
        <v>0.92052309976738722</v>
      </c>
      <c r="AL12" s="464"/>
      <c r="AN12" s="283">
        <v>7</v>
      </c>
      <c r="AO12" s="284"/>
      <c r="AP12" s="282" t="s">
        <v>221</v>
      </c>
      <c r="AQ12" s="281"/>
      <c r="AR12" s="286"/>
      <c r="AS12" s="392"/>
      <c r="AT12" s="393"/>
      <c r="AU12" s="394"/>
      <c r="AV12" s="392"/>
      <c r="AW12" s="393"/>
      <c r="AX12" s="383"/>
      <c r="AY12" s="394"/>
      <c r="AZ12" s="392"/>
      <c r="BA12" s="465"/>
      <c r="BB12" s="383"/>
      <c r="BC12" s="394"/>
      <c r="BD12" s="392"/>
      <c r="BE12" s="465"/>
      <c r="BF12" s="383"/>
      <c r="BG12" s="394"/>
      <c r="BH12" s="392"/>
      <c r="BI12" s="465"/>
      <c r="BJ12" s="383"/>
      <c r="BK12" s="394"/>
      <c r="BL12" s="392"/>
      <c r="BM12" s="465"/>
      <c r="BN12" s="383"/>
      <c r="BO12" s="394"/>
      <c r="BP12" s="392"/>
      <c r="BQ12" s="465"/>
      <c r="BR12" s="383"/>
      <c r="BS12" s="394"/>
      <c r="BT12" s="97"/>
      <c r="BU12" s="97"/>
      <c r="BV12" s="97"/>
      <c r="BW12" s="18"/>
      <c r="BX12" s="19"/>
      <c r="BY12" s="19"/>
      <c r="BZ12" s="19"/>
      <c r="CA12" s="19"/>
      <c r="CB12" s="19"/>
      <c r="CC12" s="18"/>
      <c r="CD12" s="19"/>
      <c r="CE12" s="466"/>
      <c r="CF12" s="396"/>
      <c r="CG12" s="466"/>
      <c r="CU12" s="347"/>
      <c r="CV12" s="106"/>
      <c r="DA12" s="518"/>
      <c r="DF12" s="106"/>
      <c r="DH12" s="976"/>
      <c r="DI12" s="976"/>
      <c r="DJ12" s="355"/>
      <c r="DK12" s="355"/>
      <c r="DL12" s="355"/>
      <c r="DM12" s="344"/>
      <c r="DQ12" s="467">
        <v>7</v>
      </c>
      <c r="DR12" s="468" t="s">
        <v>72</v>
      </c>
      <c r="DS12" s="469">
        <f t="shared" ref="DS12:DZ12" si="90">SUM(DS7:DS11)</f>
        <v>3530087.5569999996</v>
      </c>
      <c r="DT12" s="469">
        <f t="shared" si="90"/>
        <v>6491478.3399999999</v>
      </c>
      <c r="DU12" s="469">
        <f t="shared" si="90"/>
        <v>14676147.762500003</v>
      </c>
      <c r="DV12" s="470">
        <f t="shared" si="90"/>
        <v>24697713.659500003</v>
      </c>
      <c r="DW12" s="469">
        <f t="shared" si="90"/>
        <v>4189591.6565660639</v>
      </c>
      <c r="DX12" s="469">
        <f t="shared" si="90"/>
        <v>6767505.2733571697</v>
      </c>
      <c r="DY12" s="469">
        <f t="shared" si="90"/>
        <v>10006244.025055984</v>
      </c>
      <c r="DZ12" s="469">
        <f t="shared" si="90"/>
        <v>20963340.954979219</v>
      </c>
      <c r="EN12" s="103"/>
      <c r="EO12" s="408"/>
      <c r="FD12" s="103"/>
      <c r="FE12" s="408"/>
      <c r="FG12" s="283">
        <f t="shared" si="84"/>
        <v>7</v>
      </c>
      <c r="FH12" s="406"/>
      <c r="FI12" s="407" t="s">
        <v>222</v>
      </c>
      <c r="FJ12" s="17">
        <v>148012.14499999996</v>
      </c>
      <c r="FK12" s="17">
        <v>277116.79999999999</v>
      </c>
      <c r="FL12" s="17">
        <v>328144.58999999997</v>
      </c>
      <c r="FM12" s="290">
        <f t="shared" si="28"/>
        <v>753273.53499999992</v>
      </c>
      <c r="FN12" s="17">
        <v>150334.44712121214</v>
      </c>
      <c r="FO12" s="17">
        <v>277176</v>
      </c>
      <c r="FP12" s="17">
        <v>328144.58999999997</v>
      </c>
      <c r="FQ12" s="17">
        <v>755655.03712121211</v>
      </c>
      <c r="FR12" s="17">
        <v>755655.03712121211</v>
      </c>
      <c r="FS12" s="103"/>
      <c r="FT12" s="408"/>
      <c r="FV12" s="283">
        <v>7</v>
      </c>
      <c r="FW12" s="286" t="s">
        <v>223</v>
      </c>
      <c r="FX12" s="17">
        <v>0</v>
      </c>
      <c r="FY12" s="17">
        <v>0</v>
      </c>
      <c r="FZ12" s="17">
        <v>0</v>
      </c>
      <c r="GA12" s="290">
        <v>0</v>
      </c>
      <c r="GB12" s="17">
        <v>0</v>
      </c>
      <c r="GC12" s="17">
        <v>0</v>
      </c>
      <c r="GD12" s="17">
        <v>0</v>
      </c>
      <c r="GE12" s="290">
        <f t="shared" si="87"/>
        <v>0</v>
      </c>
      <c r="GF12" s="103"/>
      <c r="GG12" s="301"/>
      <c r="GI12" s="467">
        <v>7</v>
      </c>
      <c r="GJ12" s="471" t="s">
        <v>89</v>
      </c>
      <c r="GK12" s="469">
        <f t="shared" ref="GK12:GR12" si="91">SUM(GK6:GK11)</f>
        <v>0</v>
      </c>
      <c r="GL12" s="469">
        <f t="shared" si="91"/>
        <v>0</v>
      </c>
      <c r="GM12" s="469">
        <f t="shared" si="91"/>
        <v>0</v>
      </c>
      <c r="GN12" s="470">
        <f t="shared" si="91"/>
        <v>0</v>
      </c>
      <c r="GO12" s="469">
        <f t="shared" si="91"/>
        <v>0</v>
      </c>
      <c r="GP12" s="469">
        <f t="shared" si="91"/>
        <v>0</v>
      </c>
      <c r="GQ12" s="469">
        <f t="shared" si="91"/>
        <v>0</v>
      </c>
      <c r="GR12" s="470">
        <f t="shared" si="91"/>
        <v>0</v>
      </c>
      <c r="GS12" s="103"/>
      <c r="GT12" s="301"/>
      <c r="GV12" s="283">
        <v>7</v>
      </c>
      <c r="GW12" s="286" t="s">
        <v>224</v>
      </c>
      <c r="GX12" s="17">
        <f>FX14</f>
        <v>246822.49</v>
      </c>
      <c r="GY12" s="17">
        <f t="shared" ref="GY12:GZ12" si="92">FY14</f>
        <v>506083.3639</v>
      </c>
      <c r="GZ12" s="17">
        <f t="shared" si="92"/>
        <v>1023549.4600000001</v>
      </c>
      <c r="HA12" s="290">
        <f t="shared" ref="HA12:HA13" si="93">SUM(GX12:GZ12)</f>
        <v>1776455.3139</v>
      </c>
      <c r="HB12" s="17">
        <f>GB14</f>
        <v>0</v>
      </c>
      <c r="HC12" s="17">
        <f t="shared" ref="HC12:HD12" si="94">GC14</f>
        <v>0</v>
      </c>
      <c r="HD12" s="17">
        <f t="shared" si="94"/>
        <v>0</v>
      </c>
      <c r="HE12" s="17">
        <f t="shared" ref="HE12" si="95">SUM(HB12:HD12)</f>
        <v>0</v>
      </c>
      <c r="HF12" s="103"/>
      <c r="HG12" s="301"/>
      <c r="HW12" s="283">
        <v>7</v>
      </c>
      <c r="HX12" s="306">
        <v>7</v>
      </c>
      <c r="HY12" s="306">
        <v>10</v>
      </c>
      <c r="HZ12" s="306">
        <v>12</v>
      </c>
      <c r="IA12" s="307">
        <v>35567652</v>
      </c>
      <c r="IB12" s="307">
        <v>43926482</v>
      </c>
      <c r="IC12" s="309">
        <f t="shared" si="5"/>
        <v>1.2</v>
      </c>
      <c r="ID12" s="309">
        <f t="shared" si="6"/>
        <v>1.2350121396824283</v>
      </c>
      <c r="IE12" s="310">
        <v>1</v>
      </c>
      <c r="IF12" s="310">
        <v>0</v>
      </c>
      <c r="IG12" s="310">
        <v>0</v>
      </c>
      <c r="IK12" s="410">
        <v>7</v>
      </c>
      <c r="IL12" s="317">
        <v>7</v>
      </c>
      <c r="IM12" s="313">
        <f t="shared" si="7"/>
        <v>1.2350121396824283</v>
      </c>
      <c r="IN12" s="17">
        <v>0</v>
      </c>
      <c r="IO12" s="290">
        <f t="shared" si="29"/>
        <v>0</v>
      </c>
      <c r="IP12" s="17">
        <v>3906290</v>
      </c>
      <c r="IQ12" s="290">
        <v>4775399</v>
      </c>
      <c r="IR12" s="17">
        <v>1655811.4653</v>
      </c>
      <c r="IS12" s="290">
        <v>2007169</v>
      </c>
      <c r="IT12" s="17">
        <v>225000</v>
      </c>
      <c r="IU12" s="17">
        <v>270000</v>
      </c>
      <c r="IV12" s="17">
        <f t="shared" si="30"/>
        <v>1880811.4653</v>
      </c>
      <c r="IW12" s="17">
        <f t="shared" si="30"/>
        <v>2277169</v>
      </c>
      <c r="IX12" s="314"/>
      <c r="IY12" s="315"/>
      <c r="IZ12" s="314"/>
      <c r="JA12" s="316">
        <v>7</v>
      </c>
      <c r="JB12" s="317">
        <v>7</v>
      </c>
      <c r="JC12" s="318">
        <f t="shared" si="8"/>
        <v>1.2</v>
      </c>
      <c r="JD12" s="319">
        <f t="shared" si="8"/>
        <v>1.2350121396824283</v>
      </c>
      <c r="JE12" s="17">
        <v>534015.33116052148</v>
      </c>
      <c r="JF12" s="290">
        <f t="shared" si="70"/>
        <v>659515.41675977618</v>
      </c>
      <c r="JG12" s="17">
        <v>140368.72915</v>
      </c>
      <c r="JH12" s="290">
        <f t="shared" si="31"/>
        <v>173357.08453204474</v>
      </c>
      <c r="JI12" s="17">
        <v>308346.51058947854</v>
      </c>
      <c r="JJ12" s="290">
        <f t="shared" si="32"/>
        <v>370015.81270737422</v>
      </c>
      <c r="JK12" s="17">
        <v>430609.7511015131</v>
      </c>
      <c r="JL12" s="290">
        <v>523413.17756288225</v>
      </c>
      <c r="JM12" s="17">
        <v>119760.47224999996</v>
      </c>
      <c r="JN12" s="290">
        <f t="shared" si="33"/>
        <v>147905.63708285053</v>
      </c>
      <c r="JO12" s="17">
        <v>53415.915999999997</v>
      </c>
      <c r="JP12" s="290">
        <f t="shared" si="34"/>
        <v>65969.304712256853</v>
      </c>
      <c r="JQ12" s="17">
        <v>62226.089999999989</v>
      </c>
      <c r="JR12" s="290">
        <f t="shared" si="35"/>
        <v>76849.976554971334</v>
      </c>
      <c r="JS12" s="17">
        <v>200200.63380000001</v>
      </c>
      <c r="JT12" s="290">
        <f t="shared" si="36"/>
        <v>247250.21311511629</v>
      </c>
      <c r="JU12" s="17">
        <f t="shared" si="37"/>
        <v>1848943.434051513</v>
      </c>
      <c r="JV12" s="17">
        <f t="shared" si="37"/>
        <v>2264276.6230272725</v>
      </c>
      <c r="JW12" s="320">
        <f t="shared" si="9"/>
        <v>5.1546960283030918</v>
      </c>
      <c r="KA12" s="283">
        <v>7</v>
      </c>
      <c r="KB12" s="306">
        <v>7</v>
      </c>
      <c r="KC12" s="97">
        <f t="shared" si="10"/>
        <v>12</v>
      </c>
      <c r="KD12" s="97">
        <f t="shared" si="11"/>
        <v>12</v>
      </c>
      <c r="KE12" s="289">
        <f t="shared" si="12"/>
        <v>43926482</v>
      </c>
      <c r="KF12" s="289">
        <f t="shared" si="13"/>
        <v>45804480.462710187</v>
      </c>
      <c r="KG12" s="321">
        <f t="shared" si="38"/>
        <v>1</v>
      </c>
      <c r="KH12" s="321">
        <f t="shared" si="39"/>
        <v>1.0427532180407753</v>
      </c>
      <c r="KI12" s="321">
        <f t="shared" si="40"/>
        <v>0.97905780918377983</v>
      </c>
      <c r="KJ12" s="306" t="s">
        <v>256</v>
      </c>
      <c r="KK12" s="322"/>
      <c r="KL12" s="323"/>
      <c r="KM12" s="322"/>
      <c r="KN12" s="283">
        <v>7</v>
      </c>
      <c r="KO12" s="306">
        <v>7</v>
      </c>
      <c r="KP12" s="324" t="str">
        <f t="shared" si="14"/>
        <v>Q3</v>
      </c>
      <c r="KQ12" s="325">
        <f t="shared" si="15"/>
        <v>0.97905780918377983</v>
      </c>
      <c r="KR12" s="17">
        <f t="shared" si="41"/>
        <v>0</v>
      </c>
      <c r="KS12" s="17">
        <f t="shared" si="42"/>
        <v>0</v>
      </c>
      <c r="KT12" s="17">
        <f t="shared" si="16"/>
        <v>4775399</v>
      </c>
      <c r="KU12" s="17">
        <f t="shared" si="43"/>
        <v>4987695.4248454841</v>
      </c>
      <c r="KV12" s="17">
        <f t="shared" si="17"/>
        <v>2007169</v>
      </c>
      <c r="KW12" s="17">
        <f t="shared" si="18"/>
        <v>2737984.0955878077</v>
      </c>
      <c r="KX12" s="17">
        <f t="shared" si="44"/>
        <v>270000</v>
      </c>
      <c r="KY12" s="17">
        <f t="shared" si="45"/>
        <v>98955.471154630228</v>
      </c>
      <c r="KZ12" s="17">
        <f t="shared" si="46"/>
        <v>2277169</v>
      </c>
      <c r="LA12" s="17">
        <f t="shared" si="46"/>
        <v>2836939.5667424379</v>
      </c>
      <c r="LB12" s="326"/>
      <c r="LC12" s="323"/>
      <c r="LD12" s="322"/>
      <c r="LE12" s="364">
        <f t="shared" si="71"/>
        <v>7</v>
      </c>
      <c r="LF12" s="365">
        <v>6</v>
      </c>
      <c r="LG12" s="411">
        <f t="shared" si="72"/>
        <v>1</v>
      </c>
      <c r="LH12" s="411">
        <f t="shared" si="72"/>
        <v>1.0427532180407753</v>
      </c>
      <c r="LI12" s="412">
        <v>113.92083696213525</v>
      </c>
      <c r="LJ12" s="343">
        <f t="shared" si="73"/>
        <v>574862.27601172472</v>
      </c>
      <c r="LK12" s="412">
        <v>113.92083696213525</v>
      </c>
      <c r="LL12" s="343">
        <f t="shared" si="47"/>
        <v>28306.934380402465</v>
      </c>
      <c r="LM12" s="412">
        <v>113.92083696213525</v>
      </c>
      <c r="LN12" s="343">
        <f t="shared" si="48"/>
        <v>311877.00254402391</v>
      </c>
      <c r="LO12" s="412">
        <v>118.41952153062</v>
      </c>
      <c r="LP12" s="343">
        <f t="shared" si="74"/>
        <v>489282.12489814521</v>
      </c>
      <c r="LQ12" s="412">
        <v>118.887537452888</v>
      </c>
      <c r="LR12" s="343">
        <f t="shared" si="49"/>
        <v>93773.365401194271</v>
      </c>
      <c r="LS12" s="412">
        <v>168.49721907230401</v>
      </c>
      <c r="LT12" s="343">
        <f t="shared" si="50"/>
        <v>55705.3492286111</v>
      </c>
      <c r="LU12" s="412">
        <v>107.679074448752</v>
      </c>
      <c r="LV12" s="343">
        <f t="shared" si="51"/>
        <v>28332.208142705837</v>
      </c>
      <c r="LW12" s="412">
        <v>115.99271402550001</v>
      </c>
      <c r="LX12" s="343">
        <f t="shared" si="52"/>
        <v>227172.25426712504</v>
      </c>
      <c r="LY12" s="20">
        <f t="shared" si="53"/>
        <v>1927746.3927005585</v>
      </c>
      <c r="LZ12" s="20">
        <f t="shared" si="75"/>
        <v>1809311.5148739326</v>
      </c>
      <c r="MA12" s="103"/>
      <c r="MB12" s="335"/>
      <c r="MD12" s="283">
        <v>7</v>
      </c>
      <c r="ME12" s="336">
        <v>7</v>
      </c>
      <c r="MF12" s="17">
        <f t="shared" si="19"/>
        <v>1880811.4653</v>
      </c>
      <c r="MG12" s="17">
        <f t="shared" si="19"/>
        <v>2277169</v>
      </c>
      <c r="MH12" s="290">
        <f t="shared" si="20"/>
        <v>2836939.5667424379</v>
      </c>
      <c r="MI12" s="17">
        <f t="shared" si="21"/>
        <v>1848943.434051513</v>
      </c>
      <c r="MJ12" s="17">
        <f t="shared" si="21"/>
        <v>2264276.6230272725</v>
      </c>
      <c r="MK12" s="290">
        <f t="shared" si="54"/>
        <v>2216857.7099271286</v>
      </c>
      <c r="ML12" s="17">
        <f t="shared" si="55"/>
        <v>31868.031248487066</v>
      </c>
      <c r="MM12" s="17">
        <f>MG12-MJ12</f>
        <v>12892.376972727478</v>
      </c>
      <c r="MN12" s="17">
        <f t="shared" si="55"/>
        <v>620081.85681530926</v>
      </c>
      <c r="MR12" s="283">
        <f t="shared" si="76"/>
        <v>7</v>
      </c>
      <c r="MS12" s="413" t="s">
        <v>225</v>
      </c>
      <c r="MT12" s="32">
        <f>MT9/(1-MT11)</f>
        <v>352473509.16339827</v>
      </c>
      <c r="MX12" s="338">
        <f>MX11+1</f>
        <v>6</v>
      </c>
      <c r="MY12" s="447" t="s">
        <v>220</v>
      </c>
      <c r="MZ12" s="24">
        <f>N12</f>
        <v>136639408.8949312</v>
      </c>
      <c r="NA12" s="472">
        <f t="shared" si="56"/>
        <v>6.2029557810910561</v>
      </c>
      <c r="NB12" s="453"/>
      <c r="NC12" s="22">
        <f>NC9+NC10+NC11</f>
        <v>113368417.17684256</v>
      </c>
      <c r="ND12" s="472">
        <f t="shared" si="57"/>
        <v>5.1465333786753877</v>
      </c>
      <c r="NH12" s="338">
        <f t="shared" si="86"/>
        <v>6</v>
      </c>
      <c r="NI12" s="447" t="str">
        <f t="shared" si="58"/>
        <v>Net Revenue</v>
      </c>
      <c r="NJ12" s="24">
        <v>106708111.01526074</v>
      </c>
      <c r="NK12" s="24">
        <f>MZ12</f>
        <v>136639408.8949312</v>
      </c>
      <c r="NL12" s="24">
        <f t="shared" si="77"/>
        <v>29931297.879670456</v>
      </c>
      <c r="NM12" s="473">
        <f t="shared" si="78"/>
        <v>0.28049693312807183</v>
      </c>
    </row>
    <row r="13" spans="2:387" x14ac:dyDescent="0.3">
      <c r="B13" s="226">
        <f t="shared" si="79"/>
        <v>8</v>
      </c>
      <c r="C13" s="474" t="s">
        <v>221</v>
      </c>
      <c r="D13" s="475"/>
      <c r="E13" s="476"/>
      <c r="F13" s="15"/>
      <c r="G13" s="341"/>
      <c r="H13" s="15"/>
      <c r="I13" s="342"/>
      <c r="J13" s="343"/>
      <c r="K13" s="15"/>
      <c r="L13" s="342"/>
      <c r="M13" s="343"/>
      <c r="N13" s="15"/>
      <c r="O13" s="342"/>
      <c r="P13" s="343"/>
      <c r="Q13" s="15"/>
      <c r="R13" s="344"/>
      <c r="V13" s="275"/>
      <c r="W13" s="276" t="s">
        <v>27</v>
      </c>
      <c r="X13" s="415"/>
      <c r="Y13" s="416"/>
      <c r="Z13" s="416"/>
      <c r="AA13" s="416"/>
      <c r="AB13" s="279"/>
      <c r="AC13" s="351"/>
      <c r="AF13" s="417">
        <f t="shared" si="80"/>
        <v>7</v>
      </c>
      <c r="AG13" s="418" t="s">
        <v>195</v>
      </c>
      <c r="AH13" s="477">
        <f>JE26/AH11</f>
        <v>20.537971247053672</v>
      </c>
      <c r="AI13" s="477">
        <f>JG26/AI11</f>
        <v>19.390724851022238</v>
      </c>
      <c r="AJ13" s="477">
        <f>JI26/AJ11</f>
        <v>32.342338831236454</v>
      </c>
      <c r="AL13" s="464"/>
      <c r="AN13" s="338">
        <v>8</v>
      </c>
      <c r="AO13" s="96"/>
      <c r="AQ13" s="518" t="s">
        <v>47</v>
      </c>
      <c r="AR13" s="340"/>
      <c r="AS13" s="348">
        <v>12784699.6164</v>
      </c>
      <c r="AT13" s="349">
        <v>1.2467034624748656</v>
      </c>
      <c r="AU13" s="350"/>
      <c r="AV13" s="348">
        <v>13940512.122199997</v>
      </c>
      <c r="AW13" s="349">
        <v>1.2917708159017343</v>
      </c>
      <c r="AX13" s="351">
        <f t="shared" ref="AX13:AX20" si="96">AW13/AT13-1</f>
        <v>3.6149216540559026E-2</v>
      </c>
      <c r="AY13" s="350"/>
      <c r="AZ13" s="348">
        <v>16686157.735618668</v>
      </c>
      <c r="BA13" s="349">
        <v>1.2933634349589591</v>
      </c>
      <c r="BB13" s="351">
        <f t="shared" ref="BB13:BB20" si="97">BA13/AW13-1</f>
        <v>1.2328959886844792E-3</v>
      </c>
      <c r="BC13" s="350"/>
      <c r="BD13" s="348">
        <v>19121063.134010617</v>
      </c>
      <c r="BE13" s="349">
        <v>1.3002123037527811</v>
      </c>
      <c r="BF13" s="351">
        <f t="shared" ref="BF13:BF20" si="98">BE13/BA13-1</f>
        <v>5.2953938612307905E-3</v>
      </c>
      <c r="BG13" s="350"/>
      <c r="BH13" s="348">
        <v>21345531.913160004</v>
      </c>
      <c r="BI13" s="349">
        <v>1.4046426840756656</v>
      </c>
      <c r="BJ13" s="351">
        <f t="shared" ref="BJ13:BJ20" si="99">BI13/BE13-1</f>
        <v>8.0317945016724401E-2</v>
      </c>
      <c r="BK13" s="350"/>
      <c r="BL13" s="348">
        <v>23918047.727200001</v>
      </c>
      <c r="BM13" s="349">
        <v>1.4218898216681388</v>
      </c>
      <c r="BN13" s="351">
        <f t="shared" ref="BN13:BN20" si="100">BM13/BI13-1</f>
        <v>1.2278665448517856E-2</v>
      </c>
      <c r="BO13" s="350"/>
      <c r="BP13" s="348">
        <v>28535397.766300008</v>
      </c>
      <c r="BQ13" s="349">
        <v>1.5384698585450844</v>
      </c>
      <c r="BR13" s="351">
        <f t="shared" ref="BR13:BR20" si="101">BQ13/BM13-1</f>
        <v>8.1989500944718685E-2</v>
      </c>
      <c r="BS13" s="350"/>
      <c r="BT13" s="518">
        <v>32304174</v>
      </c>
      <c r="BU13" s="518">
        <v>1.65</v>
      </c>
      <c r="BV13" s="518">
        <f t="shared" ref="BV13:BV20" si="102">BU13/BQ13-1</f>
        <v>7.2494199893125222E-2</v>
      </c>
      <c r="BW13" s="15">
        <v>36103152.515199989</v>
      </c>
      <c r="BX13" s="16">
        <v>1.8651083200592218</v>
      </c>
      <c r="BY13" s="16">
        <f t="shared" si="65"/>
        <v>0.13036867882377079</v>
      </c>
      <c r="BZ13" s="16">
        <v>36687111.743471108</v>
      </c>
      <c r="CA13" s="16">
        <v>1.7984785294214409</v>
      </c>
      <c r="CB13" s="16">
        <f t="shared" si="66"/>
        <v>-3.5724354409434667E-2</v>
      </c>
      <c r="CC13" s="15">
        <f t="shared" ref="CC13:CD16" si="103">F14</f>
        <v>37593268.407299995</v>
      </c>
      <c r="CD13" s="16">
        <f t="shared" si="103"/>
        <v>1.8087697778034015</v>
      </c>
      <c r="CE13" s="352">
        <f t="shared" ref="CE13:CE20" si="104">CD13/CA13-1</f>
        <v>5.722196964603965E-3</v>
      </c>
      <c r="CF13" s="353">
        <f t="shared" si="68"/>
        <v>1.9404889856837917</v>
      </c>
      <c r="CG13" s="352">
        <f t="shared" ref="CG13:CG23" si="105">(CF13+1)^(1/(2022-2004))-1</f>
        <v>6.1752540262295819E-2</v>
      </c>
      <c r="DA13" s="518"/>
      <c r="DH13" s="976"/>
      <c r="DI13" s="976"/>
      <c r="DJ13" s="355"/>
      <c r="DK13" s="355"/>
      <c r="DL13" s="355"/>
      <c r="DM13" s="344"/>
      <c r="DW13" s="96"/>
      <c r="DX13" s="96"/>
      <c r="DY13" s="96"/>
      <c r="DZ13" s="96"/>
      <c r="EB13" s="94"/>
      <c r="EN13" s="103"/>
      <c r="EO13" s="408"/>
      <c r="FD13" s="103"/>
      <c r="FE13" s="408"/>
      <c r="FG13" s="338">
        <f t="shared" si="84"/>
        <v>8</v>
      </c>
      <c r="FH13" s="360"/>
      <c r="FI13" s="361" t="s">
        <v>226</v>
      </c>
      <c r="FJ13" s="20">
        <v>372570.14490000001</v>
      </c>
      <c r="FK13" s="20">
        <v>432666.99</v>
      </c>
      <c r="FL13" s="20">
        <v>764335.16999999993</v>
      </c>
      <c r="FM13" s="343">
        <f t="shared" si="28"/>
        <v>1569572.3048999999</v>
      </c>
      <c r="FN13" s="20">
        <v>383216.99338484858</v>
      </c>
      <c r="FO13" s="20">
        <v>433325.38999999996</v>
      </c>
      <c r="FP13" s="20">
        <v>764335.17</v>
      </c>
      <c r="FQ13" s="20">
        <v>1580877.5533848486</v>
      </c>
      <c r="FR13" s="20">
        <v>1580877.5533848486</v>
      </c>
      <c r="FS13" s="103"/>
      <c r="FT13" s="408"/>
      <c r="FV13" s="456">
        <v>8</v>
      </c>
      <c r="FW13" s="478" t="s">
        <v>227</v>
      </c>
      <c r="FX13" s="20">
        <v>118240.69</v>
      </c>
      <c r="FY13" s="20">
        <v>400895.28</v>
      </c>
      <c r="FZ13" s="20">
        <v>671940.67</v>
      </c>
      <c r="GA13" s="343">
        <v>1191076.6400000001</v>
      </c>
      <c r="GB13" s="20">
        <v>0</v>
      </c>
      <c r="GC13" s="20">
        <v>0</v>
      </c>
      <c r="GD13" s="20">
        <v>0</v>
      </c>
      <c r="GE13" s="343">
        <f t="shared" si="1"/>
        <v>0</v>
      </c>
      <c r="GG13" s="301"/>
      <c r="GT13" s="301"/>
      <c r="GV13" s="456">
        <v>8</v>
      </c>
      <c r="GW13" s="478" t="s">
        <v>228</v>
      </c>
      <c r="GX13" s="20">
        <f>GK12</f>
        <v>0</v>
      </c>
      <c r="GY13" s="20">
        <f t="shared" ref="GY13:GZ13" si="106">GL12</f>
        <v>0</v>
      </c>
      <c r="GZ13" s="20">
        <f t="shared" si="106"/>
        <v>0</v>
      </c>
      <c r="HA13" s="343">
        <f t="shared" si="93"/>
        <v>0</v>
      </c>
      <c r="HB13" s="20">
        <f>GO12</f>
        <v>0</v>
      </c>
      <c r="HC13" s="20">
        <f t="shared" ref="HC13:HE13" si="107">GP12</f>
        <v>0</v>
      </c>
      <c r="HD13" s="20">
        <f t="shared" si="107"/>
        <v>0</v>
      </c>
      <c r="HE13" s="20">
        <f t="shared" si="107"/>
        <v>0</v>
      </c>
      <c r="HG13" s="301"/>
      <c r="HW13" s="338">
        <v>8</v>
      </c>
      <c r="HX13" s="322">
        <v>8</v>
      </c>
      <c r="HY13" s="322">
        <v>11</v>
      </c>
      <c r="HZ13" s="322">
        <v>10</v>
      </c>
      <c r="IA13" s="347">
        <v>46754320</v>
      </c>
      <c r="IB13" s="347">
        <v>42400765</v>
      </c>
      <c r="IC13" s="342">
        <f t="shared" si="5"/>
        <v>0.90909090909090906</v>
      </c>
      <c r="ID13" s="342">
        <f t="shared" si="6"/>
        <v>0.90688443335289659</v>
      </c>
      <c r="IE13" s="344">
        <v>1</v>
      </c>
      <c r="IF13" s="344">
        <v>0</v>
      </c>
      <c r="IG13" s="344">
        <v>0</v>
      </c>
      <c r="IK13" s="364">
        <v>8</v>
      </c>
      <c r="IL13" s="365">
        <v>8</v>
      </c>
      <c r="IM13" s="341">
        <f t="shared" si="7"/>
        <v>0.90688443335289659</v>
      </c>
      <c r="IN13" s="20">
        <v>1215</v>
      </c>
      <c r="IO13" s="343">
        <f t="shared" si="29"/>
        <v>1101.8645865237693</v>
      </c>
      <c r="IP13" s="20">
        <v>5068135</v>
      </c>
      <c r="IQ13" s="343">
        <v>4100517</v>
      </c>
      <c r="IR13" s="20">
        <v>2068139.1013000002</v>
      </c>
      <c r="IS13" s="343">
        <v>1665222</v>
      </c>
      <c r="IT13" s="20">
        <v>247500</v>
      </c>
      <c r="IU13" s="20">
        <v>225000</v>
      </c>
      <c r="IV13" s="20">
        <f t="shared" si="30"/>
        <v>2316854.1013000002</v>
      </c>
      <c r="IW13" s="20">
        <f t="shared" si="30"/>
        <v>1891323.8645865237</v>
      </c>
      <c r="IX13" s="314"/>
      <c r="IY13" s="315"/>
      <c r="IZ13" s="314"/>
      <c r="JA13" s="366">
        <v>8</v>
      </c>
      <c r="JB13" s="365">
        <v>8</v>
      </c>
      <c r="JC13" s="367">
        <f t="shared" si="8"/>
        <v>0.90909090909090906</v>
      </c>
      <c r="JD13" s="368">
        <f t="shared" si="8"/>
        <v>0.90688443335289659</v>
      </c>
      <c r="JE13" s="20">
        <v>765725.39359878015</v>
      </c>
      <c r="JF13" s="343">
        <f t="shared" si="70"/>
        <v>694424.43967775349</v>
      </c>
      <c r="JG13" s="20">
        <v>88308.025000000009</v>
      </c>
      <c r="JH13" s="343">
        <f t="shared" si="31"/>
        <v>80085.17321263843</v>
      </c>
      <c r="JI13" s="20">
        <v>479200.50340121984</v>
      </c>
      <c r="JJ13" s="343">
        <f t="shared" si="32"/>
        <v>435636.82127383619</v>
      </c>
      <c r="JK13" s="20">
        <v>627154.02980366477</v>
      </c>
      <c r="JL13" s="343">
        <v>592911.97216258664</v>
      </c>
      <c r="JM13" s="20">
        <v>44114.474999999991</v>
      </c>
      <c r="JN13" s="343">
        <f t="shared" si="33"/>
        <v>40006.730663035516</v>
      </c>
      <c r="JO13" s="20">
        <v>66525.029500000019</v>
      </c>
      <c r="JP13" s="343">
        <f t="shared" si="34"/>
        <v>60330.513681892247</v>
      </c>
      <c r="JQ13" s="20">
        <v>54149.519</v>
      </c>
      <c r="JR13" s="343">
        <f t="shared" si="35"/>
        <v>49107.355854646907</v>
      </c>
      <c r="JS13" s="20">
        <v>291219.13010000007</v>
      </c>
      <c r="JT13" s="343">
        <f t="shared" si="36"/>
        <v>264102.09578226204</v>
      </c>
      <c r="JU13" s="20">
        <f t="shared" si="37"/>
        <v>2416396.105403665</v>
      </c>
      <c r="JV13" s="20">
        <f t="shared" si="37"/>
        <v>2216605.1023086514</v>
      </c>
      <c r="JW13" s="369">
        <f t="shared" si="9"/>
        <v>5.2277479010311527</v>
      </c>
      <c r="KA13" s="338">
        <v>8</v>
      </c>
      <c r="KB13" s="322">
        <v>8</v>
      </c>
      <c r="KC13" s="518">
        <f t="shared" si="10"/>
        <v>10</v>
      </c>
      <c r="KD13" s="518">
        <f t="shared" si="11"/>
        <v>10</v>
      </c>
      <c r="KE13" s="370">
        <f t="shared" si="12"/>
        <v>42400765</v>
      </c>
      <c r="KF13" s="370">
        <f t="shared" si="13"/>
        <v>44213534.151140675</v>
      </c>
      <c r="KG13" s="371">
        <f t="shared" si="38"/>
        <v>1</v>
      </c>
      <c r="KH13" s="371">
        <f t="shared" si="39"/>
        <v>1.0427532180407753</v>
      </c>
      <c r="KI13" s="371">
        <f t="shared" si="40"/>
        <v>1.0491560405344469</v>
      </c>
      <c r="KJ13" s="322" t="s">
        <v>440</v>
      </c>
      <c r="KK13" s="322"/>
      <c r="KL13" s="323"/>
      <c r="KM13" s="322"/>
      <c r="KN13" s="338">
        <v>8</v>
      </c>
      <c r="KO13" s="322">
        <v>8</v>
      </c>
      <c r="KP13" s="437" t="str">
        <f t="shared" si="14"/>
        <v>Q4</v>
      </c>
      <c r="KQ13" s="373">
        <f t="shared" si="15"/>
        <v>1.0491560405344469</v>
      </c>
      <c r="KR13" s="358">
        <f t="shared" si="41"/>
        <v>1101.8645865237693</v>
      </c>
      <c r="KS13" s="358">
        <f t="shared" si="42"/>
        <v>1156.0278868024031</v>
      </c>
      <c r="KT13" s="358">
        <f t="shared" si="16"/>
        <v>4100517</v>
      </c>
      <c r="KU13" s="358">
        <f t="shared" si="43"/>
        <v>4814455.6989664808</v>
      </c>
      <c r="KV13" s="358">
        <f t="shared" si="17"/>
        <v>1665222</v>
      </c>
      <c r="KW13" s="358">
        <f t="shared" si="18"/>
        <v>2642884.5408279262</v>
      </c>
      <c r="KX13" s="358">
        <f t="shared" si="44"/>
        <v>225000</v>
      </c>
      <c r="KY13" s="358">
        <f t="shared" si="45"/>
        <v>95518.409097540629</v>
      </c>
      <c r="KZ13" s="358">
        <f t="shared" si="46"/>
        <v>1891323.8645865237</v>
      </c>
      <c r="LA13" s="358">
        <f t="shared" si="46"/>
        <v>2739558.9778122692</v>
      </c>
      <c r="LB13" s="326"/>
      <c r="LC13" s="323"/>
      <c r="LD13" s="322"/>
      <c r="LE13" s="374">
        <f t="shared" si="71"/>
        <v>8</v>
      </c>
      <c r="LF13" s="375">
        <v>7</v>
      </c>
      <c r="LG13" s="376">
        <f t="shared" si="72"/>
        <v>1</v>
      </c>
      <c r="LH13" s="376">
        <f t="shared" si="72"/>
        <v>1.0427532180407753</v>
      </c>
      <c r="LI13" s="377">
        <v>106.45762205358784</v>
      </c>
      <c r="LJ13" s="290">
        <f t="shared" si="73"/>
        <v>606570.01693223859</v>
      </c>
      <c r="LK13" s="377">
        <v>106.45762205358784</v>
      </c>
      <c r="LL13" s="290">
        <f t="shared" si="47"/>
        <v>159440.10864302088</v>
      </c>
      <c r="LM13" s="377">
        <v>106.45762205358784</v>
      </c>
      <c r="LN13" s="290">
        <f t="shared" si="48"/>
        <v>326358.35275206564</v>
      </c>
      <c r="LO13" s="377">
        <v>118.614283549666</v>
      </c>
      <c r="LP13" s="290">
        <f t="shared" si="74"/>
        <v>547502.34391122684</v>
      </c>
      <c r="LQ13" s="377">
        <v>119.48337591187899</v>
      </c>
      <c r="LR13" s="290">
        <f t="shared" si="49"/>
        <v>161244.75815433555</v>
      </c>
      <c r="LS13" s="377">
        <v>157.07111615098</v>
      </c>
      <c r="LT13" s="290">
        <f t="shared" si="50"/>
        <v>62545.961081464266</v>
      </c>
      <c r="LU13" s="377">
        <v>112.15574935818501</v>
      </c>
      <c r="LV13" s="290">
        <f t="shared" si="51"/>
        <v>84245.25473501785</v>
      </c>
      <c r="LW13" s="377">
        <v>116.939890710382</v>
      </c>
      <c r="LX13" s="378">
        <f t="shared" si="52"/>
        <v>268950.91371775907</v>
      </c>
      <c r="LY13" s="379">
        <f t="shared" si="53"/>
        <v>2264276.6230272725</v>
      </c>
      <c r="LZ13" s="379">
        <f t="shared" si="75"/>
        <v>2216857.7099271286</v>
      </c>
      <c r="MA13" s="103"/>
      <c r="MB13" s="335"/>
      <c r="MD13" s="338">
        <v>8</v>
      </c>
      <c r="ME13" s="380">
        <v>8</v>
      </c>
      <c r="MF13" s="20">
        <f t="shared" si="19"/>
        <v>2316854.1013000002</v>
      </c>
      <c r="MG13" s="20">
        <f t="shared" si="19"/>
        <v>1891323.8645865237</v>
      </c>
      <c r="MH13" s="343">
        <f t="shared" si="20"/>
        <v>2739558.9778122692</v>
      </c>
      <c r="MI13" s="20">
        <f t="shared" si="21"/>
        <v>2416396.105403665</v>
      </c>
      <c r="MJ13" s="20">
        <f t="shared" si="21"/>
        <v>2216605.1023086514</v>
      </c>
      <c r="MK13" s="343">
        <f t="shared" si="54"/>
        <v>2325564.6325665973</v>
      </c>
      <c r="ML13" s="20">
        <f t="shared" si="55"/>
        <v>-99542.004103664774</v>
      </c>
      <c r="MM13" s="20">
        <f t="shared" si="55"/>
        <v>-325281.2377221277</v>
      </c>
      <c r="MN13" s="20">
        <f t="shared" si="55"/>
        <v>413994.34524567192</v>
      </c>
      <c r="MR13" s="338">
        <f t="shared" si="76"/>
        <v>8</v>
      </c>
      <c r="MS13" s="346" t="s">
        <v>229</v>
      </c>
      <c r="MT13" s="479">
        <f>MT12-MT9</f>
        <v>18998322.143907189</v>
      </c>
      <c r="MX13" s="283">
        <f t="shared" si="85"/>
        <v>7</v>
      </c>
      <c r="MY13" s="285" t="s">
        <v>221</v>
      </c>
      <c r="MZ13" s="17"/>
      <c r="NA13" s="381"/>
      <c r="NB13" s="97"/>
      <c r="NC13" s="18"/>
      <c r="ND13" s="381"/>
      <c r="NH13" s="283">
        <f t="shared" si="86"/>
        <v>7</v>
      </c>
      <c r="NI13" s="285" t="str">
        <f t="shared" si="58"/>
        <v>Expenses</v>
      </c>
      <c r="NJ13" s="17"/>
      <c r="NK13" s="17"/>
      <c r="NL13" s="17"/>
      <c r="NM13" s="395"/>
      <c r="NQ13" s="480"/>
      <c r="NR13" s="480"/>
      <c r="NS13" s="17"/>
      <c r="NT13" s="383"/>
    </row>
    <row r="14" spans="2:387" ht="17.25" thickBot="1" x14ac:dyDescent="0.35">
      <c r="B14" s="265">
        <f t="shared" si="79"/>
        <v>9</v>
      </c>
      <c r="C14" s="384"/>
      <c r="D14" s="97" t="s">
        <v>47</v>
      </c>
      <c r="E14" s="286"/>
      <c r="F14" s="18">
        <f>CP9</f>
        <v>37593268.407299995</v>
      </c>
      <c r="G14" s="313">
        <f t="shared" ref="G14:G22" si="108">F14/F$24*100</f>
        <v>1.8087697778034015</v>
      </c>
      <c r="H14" s="18">
        <f>CT9</f>
        <v>36384668.568564288</v>
      </c>
      <c r="I14" s="309">
        <f t="shared" ref="I14:I22" si="109">H14/H$24*100</f>
        <v>1.7464127227111574</v>
      </c>
      <c r="J14" s="290">
        <f t="shared" si="59"/>
        <v>-1208599.8387357071</v>
      </c>
      <c r="K14" s="18">
        <f>JF26</f>
        <v>36992330.313946411</v>
      </c>
      <c r="L14" s="309">
        <f t="shared" ref="L14:L22" si="110">K14/K$24*100</f>
        <v>1.7511201271780921</v>
      </c>
      <c r="M14" s="290">
        <f t="shared" si="60"/>
        <v>607661.7453821227</v>
      </c>
      <c r="N14" s="18">
        <f>LJ27</f>
        <v>34044203.143779494</v>
      </c>
      <c r="O14" s="309">
        <f t="shared" ref="O14:O22" si="111">N14/N$24*100</f>
        <v>1.5454888777053184</v>
      </c>
      <c r="P14" s="290">
        <f t="shared" si="61"/>
        <v>-2948127.1701669171</v>
      </c>
      <c r="Q14" s="18">
        <f t="shared" si="62"/>
        <v>-3549065.2635205016</v>
      </c>
      <c r="R14" s="310">
        <f t="shared" si="63"/>
        <v>-0.14555799379720702</v>
      </c>
      <c r="V14" s="249">
        <f>V12+1</f>
        <v>6</v>
      </c>
      <c r="W14" s="345" t="s">
        <v>176</v>
      </c>
      <c r="X14" s="20">
        <f>SUMPRODUCT($MM$6:$MM$25,IE6:IE25)</f>
        <v>-1972230.5140231708</v>
      </c>
      <c r="Y14" s="20">
        <f>SUMPRODUCT($MM$6:$MM$25,IF6:IF25)</f>
        <v>1003817.910765946</v>
      </c>
      <c r="Z14" s="20">
        <f>SUMPRODUCT($MM$6:$MM$25,IG6:IG25)</f>
        <v>3951110.9603480091</v>
      </c>
      <c r="AA14" s="20">
        <f>SUM(X14:Z14)</f>
        <v>2982698.3570907842</v>
      </c>
      <c r="AB14" s="20"/>
      <c r="AF14" s="385">
        <f t="shared" si="80"/>
        <v>8</v>
      </c>
      <c r="AG14" s="282" t="s">
        <v>27</v>
      </c>
      <c r="AH14" s="97"/>
      <c r="AI14" s="97"/>
      <c r="AJ14" s="97"/>
      <c r="AL14" s="464"/>
      <c r="AN14" s="283">
        <v>9</v>
      </c>
      <c r="AO14" s="390"/>
      <c r="AP14" s="97"/>
      <c r="AQ14" s="97" t="s">
        <v>230</v>
      </c>
      <c r="AR14" s="286"/>
      <c r="AS14" s="392">
        <v>936011.74</v>
      </c>
      <c r="AT14" s="393">
        <v>9.1275439563570718E-2</v>
      </c>
      <c r="AU14" s="394"/>
      <c r="AV14" s="392">
        <v>1523068.1600000001</v>
      </c>
      <c r="AW14" s="393">
        <v>0.14113218958319465</v>
      </c>
      <c r="AX14" s="383">
        <f t="shared" si="96"/>
        <v>0.54622306129679221</v>
      </c>
      <c r="AY14" s="394"/>
      <c r="AZ14" s="392">
        <v>2211207.06</v>
      </c>
      <c r="BA14" s="393">
        <v>0.17139322328365042</v>
      </c>
      <c r="BB14" s="383">
        <f t="shared" si="97"/>
        <v>0.2144162418922686</v>
      </c>
      <c r="BC14" s="394"/>
      <c r="BD14" s="392">
        <v>2871478.9273906099</v>
      </c>
      <c r="BE14" s="393">
        <v>0.19525756518837487</v>
      </c>
      <c r="BF14" s="383">
        <f t="shared" si="98"/>
        <v>0.13923737151048088</v>
      </c>
      <c r="BG14" s="394"/>
      <c r="BH14" s="392">
        <v>3068616.0090000001</v>
      </c>
      <c r="BI14" s="393">
        <v>0.20193027022305846</v>
      </c>
      <c r="BJ14" s="383">
        <f t="shared" si="99"/>
        <v>3.4173861731022326E-2</v>
      </c>
      <c r="BK14" s="394"/>
      <c r="BL14" s="392">
        <v>3403828.76</v>
      </c>
      <c r="BM14" s="393">
        <v>0.20235219545286309</v>
      </c>
      <c r="BN14" s="383">
        <f t="shared" si="100"/>
        <v>2.0894600365688465E-3</v>
      </c>
      <c r="BO14" s="394"/>
      <c r="BP14" s="392">
        <v>4538272.1100000003</v>
      </c>
      <c r="BQ14" s="393">
        <v>0.24467837835281422</v>
      </c>
      <c r="BR14" s="383">
        <f t="shared" si="101"/>
        <v>0.20917086076197666</v>
      </c>
      <c r="BS14" s="394"/>
      <c r="BT14" s="97">
        <v>5378012</v>
      </c>
      <c r="BU14" s="97">
        <v>0.27</v>
      </c>
      <c r="BV14" s="97">
        <f t="shared" si="102"/>
        <v>0.10348941258174138</v>
      </c>
      <c r="BW14" s="18">
        <v>1768561.8457999995</v>
      </c>
      <c r="BX14" s="19">
        <v>9.1364858283556505E-2</v>
      </c>
      <c r="BY14" s="19">
        <f t="shared" si="65"/>
        <v>-0.66161163598682782</v>
      </c>
      <c r="BZ14" s="19">
        <v>1718931.8145400002</v>
      </c>
      <c r="CA14" s="19">
        <v>8.4265613047061122E-2</v>
      </c>
      <c r="CB14" s="19">
        <f t="shared" si="66"/>
        <v>-7.7702142485269743E-2</v>
      </c>
      <c r="CC14" s="18">
        <f t="shared" si="103"/>
        <v>2147244.1196499998</v>
      </c>
      <c r="CD14" s="19">
        <f t="shared" si="103"/>
        <v>0.10331291834244472</v>
      </c>
      <c r="CE14" s="395">
        <f t="shared" si="104"/>
        <v>0.22603888593020671</v>
      </c>
      <c r="CF14" s="396">
        <f t="shared" si="68"/>
        <v>1.2940354569163843</v>
      </c>
      <c r="CG14" s="395">
        <f t="shared" si="105"/>
        <v>4.7208938117930366E-2</v>
      </c>
      <c r="DA14" s="518"/>
      <c r="DW14" s="96"/>
      <c r="DX14" s="96"/>
      <c r="DY14" s="96"/>
      <c r="DZ14" s="96"/>
      <c r="EN14" s="103"/>
      <c r="EO14" s="408"/>
      <c r="FD14" s="103"/>
      <c r="FE14" s="408"/>
      <c r="FG14" s="283">
        <f t="shared" si="84"/>
        <v>9</v>
      </c>
      <c r="FH14" s="406"/>
      <c r="FI14" s="407" t="s">
        <v>231</v>
      </c>
      <c r="FJ14" s="17">
        <v>305</v>
      </c>
      <c r="FK14" s="17">
        <v>8147.64</v>
      </c>
      <c r="FL14" s="17">
        <v>47697.71</v>
      </c>
      <c r="FM14" s="290">
        <f t="shared" si="28"/>
        <v>56150.35</v>
      </c>
      <c r="FN14" s="17">
        <v>305</v>
      </c>
      <c r="FO14" s="17">
        <v>8147.64</v>
      </c>
      <c r="FP14" s="17">
        <v>47697.71</v>
      </c>
      <c r="FQ14" s="17">
        <v>56150.35</v>
      </c>
      <c r="FR14" s="17">
        <v>56150.35</v>
      </c>
      <c r="FS14" s="103"/>
      <c r="FT14" s="408"/>
      <c r="FV14" s="467">
        <v>9</v>
      </c>
      <c r="FW14" s="471" t="s">
        <v>89</v>
      </c>
      <c r="FX14" s="469">
        <f t="shared" ref="FX14:GE14" si="112">SUM(FX6:FX13)</f>
        <v>246822.49</v>
      </c>
      <c r="FY14" s="469">
        <f t="shared" si="112"/>
        <v>506083.3639</v>
      </c>
      <c r="FZ14" s="469">
        <f t="shared" si="112"/>
        <v>1023549.4600000001</v>
      </c>
      <c r="GA14" s="470">
        <f t="shared" si="112"/>
        <v>1776455.3139000002</v>
      </c>
      <c r="GB14" s="469">
        <f t="shared" si="112"/>
        <v>0</v>
      </c>
      <c r="GC14" s="469">
        <f t="shared" si="112"/>
        <v>0</v>
      </c>
      <c r="GD14" s="469">
        <f t="shared" si="112"/>
        <v>0</v>
      </c>
      <c r="GE14" s="470">
        <f t="shared" si="112"/>
        <v>0</v>
      </c>
      <c r="GG14" s="408"/>
      <c r="GT14" s="408"/>
      <c r="GV14" s="467">
        <v>9</v>
      </c>
      <c r="GW14" s="471" t="s">
        <v>89</v>
      </c>
      <c r="GX14" s="469">
        <f>SUM(GX6:GX13)</f>
        <v>338710.07999999996</v>
      </c>
      <c r="GY14" s="469">
        <f t="shared" ref="GY14:GZ14" si="113">SUM(GY6:GY13)</f>
        <v>639089.70390000008</v>
      </c>
      <c r="GZ14" s="469">
        <f t="shared" si="113"/>
        <v>1457690.61</v>
      </c>
      <c r="HA14" s="470">
        <f>SUM(HA6:HA13)</f>
        <v>2435490.3939</v>
      </c>
      <c r="HB14" s="469">
        <f>SUM(HB6:HB13)</f>
        <v>11038</v>
      </c>
      <c r="HC14" s="469">
        <f t="shared" ref="HC14:HD14" si="114">SUM(HC6:HC13)</f>
        <v>21162.850000000006</v>
      </c>
      <c r="HD14" s="469">
        <f t="shared" si="114"/>
        <v>183737.05000000002</v>
      </c>
      <c r="HE14" s="470">
        <f>SUM(HE6:HE13)</f>
        <v>215937.90000000002</v>
      </c>
      <c r="HF14" s="475"/>
      <c r="HG14" s="408"/>
      <c r="HT14" s="443"/>
      <c r="HW14" s="283">
        <v>9</v>
      </c>
      <c r="HX14" s="306">
        <v>9</v>
      </c>
      <c r="HY14" s="306">
        <v>10</v>
      </c>
      <c r="HZ14" s="306">
        <v>9</v>
      </c>
      <c r="IA14" s="307">
        <v>50085735</v>
      </c>
      <c r="IB14" s="307">
        <v>44598622</v>
      </c>
      <c r="IC14" s="309">
        <f t="shared" si="5"/>
        <v>0.9</v>
      </c>
      <c r="ID14" s="309">
        <f t="shared" si="6"/>
        <v>0.89044559294178272</v>
      </c>
      <c r="IE14" s="310">
        <v>1</v>
      </c>
      <c r="IF14" s="310">
        <v>0</v>
      </c>
      <c r="IG14" s="310">
        <v>0</v>
      </c>
      <c r="IK14" s="410">
        <v>9</v>
      </c>
      <c r="IL14" s="317">
        <v>9</v>
      </c>
      <c r="IM14" s="313">
        <f t="shared" si="7"/>
        <v>0.89044559294178272</v>
      </c>
      <c r="IN14" s="17">
        <v>2159</v>
      </c>
      <c r="IO14" s="290">
        <f t="shared" si="29"/>
        <v>1922.4720351613089</v>
      </c>
      <c r="IP14" s="17">
        <v>5473056</v>
      </c>
      <c r="IQ14" s="290">
        <v>4857219</v>
      </c>
      <c r="IR14" s="17">
        <v>2271628.8179000001</v>
      </c>
      <c r="IS14" s="290">
        <v>1988526</v>
      </c>
      <c r="IT14" s="17">
        <v>225000</v>
      </c>
      <c r="IU14" s="17">
        <v>202500</v>
      </c>
      <c r="IV14" s="17">
        <f t="shared" si="30"/>
        <v>2498787.8179000001</v>
      </c>
      <c r="IW14" s="17">
        <f t="shared" si="30"/>
        <v>2192948.4720351612</v>
      </c>
      <c r="IX14" s="314"/>
      <c r="IY14" s="315"/>
      <c r="IZ14" s="314"/>
      <c r="JA14" s="316">
        <v>9</v>
      </c>
      <c r="JB14" s="317">
        <v>9</v>
      </c>
      <c r="JC14" s="318">
        <f t="shared" si="8"/>
        <v>0.9</v>
      </c>
      <c r="JD14" s="319">
        <f t="shared" si="8"/>
        <v>0.89044559294178272</v>
      </c>
      <c r="JE14" s="17">
        <v>661661.50272715127</v>
      </c>
      <c r="JF14" s="290">
        <f t="shared" si="70"/>
        <v>589173.56912262924</v>
      </c>
      <c r="JG14" s="17">
        <v>71999.531000000003</v>
      </c>
      <c r="JH14" s="290">
        <f t="shared" si="31"/>
        <v>64111.665072825272</v>
      </c>
      <c r="JI14" s="17">
        <v>537177.27627284871</v>
      </c>
      <c r="JJ14" s="290">
        <f t="shared" si="32"/>
        <v>483459.54864556383</v>
      </c>
      <c r="JK14" s="17">
        <v>562035.46705548721</v>
      </c>
      <c r="JL14" s="290">
        <v>509053.48675124033</v>
      </c>
      <c r="JM14" s="17">
        <v>75881.84</v>
      </c>
      <c r="JN14" s="290">
        <f t="shared" si="33"/>
        <v>67568.650012313476</v>
      </c>
      <c r="JO14" s="17">
        <v>76271.200000000012</v>
      </c>
      <c r="JP14" s="290">
        <f t="shared" si="34"/>
        <v>67915.353908381308</v>
      </c>
      <c r="JQ14" s="17">
        <v>98619.73000000001</v>
      </c>
      <c r="JR14" s="290">
        <f t="shared" si="35"/>
        <v>87815.503955608525</v>
      </c>
      <c r="JS14" s="17">
        <v>286453.18775000004</v>
      </c>
      <c r="JT14" s="290">
        <f t="shared" si="36"/>
        <v>255070.97861611258</v>
      </c>
      <c r="JU14" s="17">
        <f t="shared" si="37"/>
        <v>2370099.7348054876</v>
      </c>
      <c r="JV14" s="17">
        <f t="shared" si="37"/>
        <v>2124168.7560846745</v>
      </c>
      <c r="JW14" s="320">
        <f t="shared" si="9"/>
        <v>4.762857372778635</v>
      </c>
      <c r="KA14" s="283">
        <v>9</v>
      </c>
      <c r="KB14" s="306">
        <v>9</v>
      </c>
      <c r="KC14" s="97">
        <f t="shared" si="10"/>
        <v>9</v>
      </c>
      <c r="KD14" s="97">
        <f t="shared" si="11"/>
        <v>9</v>
      </c>
      <c r="KE14" s="289">
        <f t="shared" si="12"/>
        <v>44598622</v>
      </c>
      <c r="KF14" s="289">
        <f t="shared" si="13"/>
        <v>46505356.610684119</v>
      </c>
      <c r="KG14" s="321">
        <f t="shared" si="38"/>
        <v>1</v>
      </c>
      <c r="KH14" s="321">
        <f t="shared" si="39"/>
        <v>1.0427532180407753</v>
      </c>
      <c r="KI14" s="321">
        <f t="shared" si="40"/>
        <v>0.94501190557209203</v>
      </c>
      <c r="KJ14" s="306" t="s">
        <v>441</v>
      </c>
      <c r="KK14" s="322"/>
      <c r="KL14" s="323"/>
      <c r="KM14" s="322"/>
      <c r="KN14" s="283">
        <v>9</v>
      </c>
      <c r="KO14" s="306">
        <v>9</v>
      </c>
      <c r="KP14" s="324" t="str">
        <f t="shared" si="14"/>
        <v>Q2</v>
      </c>
      <c r="KQ14" s="325">
        <f t="shared" si="15"/>
        <v>0.94501190557209203</v>
      </c>
      <c r="KR14" s="17">
        <f t="shared" si="41"/>
        <v>1922.4720351613089</v>
      </c>
      <c r="KS14" s="17">
        <f t="shared" si="42"/>
        <v>1816.7589613568464</v>
      </c>
      <c r="KT14" s="17">
        <f t="shared" si="16"/>
        <v>4857219</v>
      </c>
      <c r="KU14" s="17">
        <f t="shared" si="43"/>
        <v>5064014.5255386764</v>
      </c>
      <c r="KV14" s="17">
        <f t="shared" si="17"/>
        <v>1988526</v>
      </c>
      <c r="KW14" s="17">
        <f t="shared" si="18"/>
        <v>2779879.2928860663</v>
      </c>
      <c r="KX14" s="17">
        <f t="shared" si="44"/>
        <v>202500</v>
      </c>
      <c r="KY14" s="17">
        <f t="shared" si="45"/>
        <v>100469.63589884702</v>
      </c>
      <c r="KZ14" s="17">
        <f t="shared" si="46"/>
        <v>2192948.4720351612</v>
      </c>
      <c r="LA14" s="17">
        <f t="shared" si="46"/>
        <v>2882165.6877462701</v>
      </c>
      <c r="LB14" s="326"/>
      <c r="LC14" s="323"/>
      <c r="LD14" s="322"/>
      <c r="LE14" s="364">
        <f t="shared" si="71"/>
        <v>9</v>
      </c>
      <c r="LF14" s="365">
        <v>8</v>
      </c>
      <c r="LG14" s="411">
        <f t="shared" si="72"/>
        <v>1</v>
      </c>
      <c r="LH14" s="411">
        <f t="shared" si="72"/>
        <v>1.0427532180407753</v>
      </c>
      <c r="LI14" s="412">
        <v>92.086954396969617</v>
      </c>
      <c r="LJ14" s="343">
        <f t="shared" si="73"/>
        <v>738345.50541796733</v>
      </c>
      <c r="LK14" s="412">
        <v>92.086954396969617</v>
      </c>
      <c r="LL14" s="343">
        <f t="shared" si="47"/>
        <v>85150.412793090058</v>
      </c>
      <c r="LM14" s="412">
        <v>92.086954396969617</v>
      </c>
      <c r="LN14" s="343">
        <f t="shared" si="48"/>
        <v>444199.10595647164</v>
      </c>
      <c r="LO14" s="412">
        <v>119.50379714140099</v>
      </c>
      <c r="LP14" s="343">
        <f t="shared" si="74"/>
        <v>615583.30830531428</v>
      </c>
      <c r="LQ14" s="412">
        <v>120.433043671646</v>
      </c>
      <c r="LR14" s="343">
        <f t="shared" si="49"/>
        <v>43270.883599735709</v>
      </c>
      <c r="LS14" s="412">
        <v>146.40099357416699</v>
      </c>
      <c r="LT14" s="343">
        <f t="shared" si="50"/>
        <v>61368.667322159927</v>
      </c>
      <c r="LU14" s="412">
        <v>116.183248398364</v>
      </c>
      <c r="LV14" s="343">
        <f t="shared" si="51"/>
        <v>51966.837188742931</v>
      </c>
      <c r="LW14" s="412">
        <v>117.5956284153</v>
      </c>
      <c r="LX14" s="343">
        <f t="shared" si="52"/>
        <v>285679.91198311571</v>
      </c>
      <c r="LY14" s="20">
        <f t="shared" si="53"/>
        <v>2216605.1023086514</v>
      </c>
      <c r="LZ14" s="20">
        <f t="shared" si="75"/>
        <v>2325564.6325665973</v>
      </c>
      <c r="MA14" s="103"/>
      <c r="MB14" s="335"/>
      <c r="MD14" s="283">
        <v>9</v>
      </c>
      <c r="ME14" s="336">
        <v>9</v>
      </c>
      <c r="MF14" s="17">
        <f t="shared" si="19"/>
        <v>2498787.8179000001</v>
      </c>
      <c r="MG14" s="17">
        <f t="shared" si="19"/>
        <v>2192948.4720351612</v>
      </c>
      <c r="MH14" s="290">
        <f t="shared" si="20"/>
        <v>2882165.6877462701</v>
      </c>
      <c r="MI14" s="17">
        <f t="shared" si="21"/>
        <v>2370099.7348054876</v>
      </c>
      <c r="MJ14" s="17">
        <f t="shared" si="21"/>
        <v>2124168.7560846745</v>
      </c>
      <c r="MK14" s="290">
        <f t="shared" si="54"/>
        <v>2007364.7639442787</v>
      </c>
      <c r="ML14" s="17">
        <f t="shared" si="55"/>
        <v>128688.08309451258</v>
      </c>
      <c r="MM14" s="17">
        <f t="shared" si="55"/>
        <v>68779.715950486716</v>
      </c>
      <c r="MN14" s="17">
        <f t="shared" si="55"/>
        <v>874800.92380199139</v>
      </c>
      <c r="MR14" s="475"/>
      <c r="MX14" s="338">
        <f t="shared" si="85"/>
        <v>8</v>
      </c>
      <c r="MY14" s="346" t="s">
        <v>47</v>
      </c>
      <c r="MZ14" s="20">
        <f t="shared" ref="MZ14:MZ21" si="115">N14</f>
        <v>34044203.143779494</v>
      </c>
      <c r="NA14" s="414">
        <f t="shared" ref="NA14:NA21" si="116">MZ14/$MZ$34*100</f>
        <v>1.5454888777053184</v>
      </c>
      <c r="NC14" s="15">
        <f t="shared" ref="NC14:NC20" si="117">MZ14</f>
        <v>34044203.143779494</v>
      </c>
      <c r="ND14" s="414">
        <f t="shared" ref="ND14:ND21" si="118">NC14/$ND$34*100</f>
        <v>1.5454888777053184</v>
      </c>
      <c r="NH14" s="338">
        <f t="shared" si="86"/>
        <v>8</v>
      </c>
      <c r="NI14" s="346" t="str">
        <f t="shared" si="58"/>
        <v>Direct Labour</v>
      </c>
      <c r="NJ14" s="20">
        <v>49085970.937008202</v>
      </c>
      <c r="NK14" s="20">
        <f t="shared" ref="NK14:NK21" si="119">MZ14</f>
        <v>34044203.143779494</v>
      </c>
      <c r="NL14" s="20">
        <f t="shared" si="77"/>
        <v>-15041767.793228708</v>
      </c>
      <c r="NM14" s="351">
        <f t="shared" si="78"/>
        <v>-0.30643720611194059</v>
      </c>
    </row>
    <row r="15" spans="2:387" x14ac:dyDescent="0.3">
      <c r="B15" s="226">
        <f t="shared" si="79"/>
        <v>10</v>
      </c>
      <c r="C15" s="339"/>
      <c r="D15" s="518" t="s">
        <v>48</v>
      </c>
      <c r="E15" s="340"/>
      <c r="F15" s="15">
        <f>DA9</f>
        <v>2147244.1196499998</v>
      </c>
      <c r="G15" s="341">
        <f t="shared" si="108"/>
        <v>0.10331291834244472</v>
      </c>
      <c r="H15" s="15">
        <f>DD9</f>
        <v>2147299.9196500001</v>
      </c>
      <c r="I15" s="342">
        <f t="shared" si="109"/>
        <v>0.103067364543576</v>
      </c>
      <c r="J15" s="343">
        <f t="shared" si="59"/>
        <v>55.800000000279397</v>
      </c>
      <c r="K15" s="15">
        <f>JH26</f>
        <v>2193064.0614437284</v>
      </c>
      <c r="L15" s="342">
        <f t="shared" si="110"/>
        <v>0.10381391454912514</v>
      </c>
      <c r="M15" s="343">
        <f t="shared" si="60"/>
        <v>45764.14179372834</v>
      </c>
      <c r="N15" s="15">
        <f>LL27</f>
        <v>2039224.3304643496</v>
      </c>
      <c r="O15" s="342">
        <f t="shared" si="111"/>
        <v>9.2573719777447105E-2</v>
      </c>
      <c r="P15" s="343">
        <f t="shared" si="61"/>
        <v>-153839.7309793788</v>
      </c>
      <c r="Q15" s="15">
        <f t="shared" si="62"/>
        <v>-108019.78918565018</v>
      </c>
      <c r="R15" s="344">
        <f t="shared" si="63"/>
        <v>-0.10394826452778227</v>
      </c>
      <c r="V15" s="385">
        <f t="shared" si="64"/>
        <v>7</v>
      </c>
      <c r="W15" s="386" t="s">
        <v>185</v>
      </c>
      <c r="X15" s="309">
        <f>X14/K$24*100</f>
        <v>-9.3360232221940578E-2</v>
      </c>
      <c r="Y15" s="309">
        <f>Y14/K$24*100</f>
        <v>4.7518113420970481E-2</v>
      </c>
      <c r="Z15" s="309">
        <f>Z14/K$24*100</f>
        <v>0.18703525483959274</v>
      </c>
      <c r="AA15" s="309">
        <f>AA14/K$24*100</f>
        <v>0.14119313603862266</v>
      </c>
      <c r="AB15" s="342"/>
      <c r="AC15" s="348"/>
      <c r="AF15" s="249">
        <f t="shared" si="80"/>
        <v>9</v>
      </c>
      <c r="AG15" s="346" t="s">
        <v>78</v>
      </c>
      <c r="AH15" s="105">
        <f>AH11*JF27</f>
        <v>1801167.6941681006</v>
      </c>
      <c r="AI15" s="105">
        <f>AI11*JH27</f>
        <v>113098.61174829236</v>
      </c>
      <c r="AJ15" s="105">
        <f>AJ11*JJ27</f>
        <v>547397.97344627196</v>
      </c>
      <c r="AL15" s="464"/>
      <c r="AN15" s="338">
        <v>10</v>
      </c>
      <c r="AO15" s="96"/>
      <c r="AQ15" s="518" t="s">
        <v>49</v>
      </c>
      <c r="AR15" s="340"/>
      <c r="AS15" s="348">
        <v>7353821.8799999999</v>
      </c>
      <c r="AT15" s="349">
        <v>0.71710994198556099</v>
      </c>
      <c r="AU15" s="350"/>
      <c r="AV15" s="348">
        <v>7828448.5450000018</v>
      </c>
      <c r="AW15" s="349">
        <v>0.72540816833517452</v>
      </c>
      <c r="AX15" s="351">
        <f t="shared" si="96"/>
        <v>1.1571763078109143E-2</v>
      </c>
      <c r="AY15" s="350"/>
      <c r="AZ15" s="348">
        <v>8035314.9274999993</v>
      </c>
      <c r="BA15" s="349">
        <v>0.62282657759036675</v>
      </c>
      <c r="BB15" s="351">
        <f t="shared" si="97"/>
        <v>-0.14141223551457172</v>
      </c>
      <c r="BC15" s="350"/>
      <c r="BD15" s="348">
        <v>8562729.5753158554</v>
      </c>
      <c r="BE15" s="349">
        <v>0.58225665955417472</v>
      </c>
      <c r="BF15" s="351">
        <f t="shared" si="98"/>
        <v>-6.5138386022561279E-2</v>
      </c>
      <c r="BG15" s="350"/>
      <c r="BH15" s="348">
        <v>11045828.998199999</v>
      </c>
      <c r="BI15" s="349">
        <v>0.72687075473189988</v>
      </c>
      <c r="BJ15" s="351">
        <f t="shared" si="99"/>
        <v>0.24836829739045663</v>
      </c>
      <c r="BK15" s="350"/>
      <c r="BL15" s="348">
        <v>11568330.944249999</v>
      </c>
      <c r="BM15" s="349">
        <v>0.68771883938552769</v>
      </c>
      <c r="BN15" s="351">
        <f t="shared" si="100"/>
        <v>-5.3863654702703045E-2</v>
      </c>
      <c r="BO15" s="350"/>
      <c r="BP15" s="348">
        <v>12592679.530000001</v>
      </c>
      <c r="BQ15" s="349">
        <v>0.67892720661852923</v>
      </c>
      <c r="BR15" s="351">
        <f t="shared" si="101"/>
        <v>-1.2783760257104038E-2</v>
      </c>
      <c r="BS15" s="350"/>
      <c r="BT15" s="518">
        <v>14006160</v>
      </c>
      <c r="BU15" s="518">
        <v>0.71</v>
      </c>
      <c r="BV15" s="518">
        <f t="shared" si="102"/>
        <v>4.5767488883281304E-2</v>
      </c>
      <c r="BW15" s="15">
        <v>14529003.2212</v>
      </c>
      <c r="BX15" s="16">
        <v>0.75057613815354784</v>
      </c>
      <c r="BY15" s="16">
        <f t="shared" si="65"/>
        <v>5.71494903571097E-2</v>
      </c>
      <c r="BZ15" s="16">
        <v>16169362.853399999</v>
      </c>
      <c r="CA15" s="16">
        <v>0.79265580047847906</v>
      </c>
      <c r="CB15" s="16">
        <f t="shared" si="66"/>
        <v>5.6063149607245899E-2</v>
      </c>
      <c r="CC15" s="15">
        <f t="shared" si="103"/>
        <v>15891148.762049999</v>
      </c>
      <c r="CD15" s="16">
        <f t="shared" si="103"/>
        <v>0.76458980113025965</v>
      </c>
      <c r="CE15" s="352">
        <f t="shared" si="104"/>
        <v>-3.5407549318730358E-2</v>
      </c>
      <c r="CF15" s="353">
        <f t="shared" si="68"/>
        <v>1.1609374038918112</v>
      </c>
      <c r="CG15" s="352">
        <f t="shared" si="105"/>
        <v>4.3737368471468585E-2</v>
      </c>
      <c r="DA15" s="518"/>
      <c r="DK15" s="518"/>
      <c r="DQ15" s="537"/>
      <c r="DR15" s="537"/>
      <c r="DS15" s="537"/>
      <c r="DT15" s="537"/>
      <c r="DU15" s="537"/>
      <c r="DV15" s="537"/>
      <c r="DW15" s="537"/>
      <c r="DX15" s="537"/>
      <c r="DY15" s="537"/>
      <c r="DZ15" s="537"/>
      <c r="EN15" s="105"/>
      <c r="EO15" s="408"/>
      <c r="FD15" s="105"/>
      <c r="FE15" s="408"/>
      <c r="FG15" s="338">
        <f t="shared" si="84"/>
        <v>10</v>
      </c>
      <c r="FH15" s="360"/>
      <c r="FI15" s="361" t="s">
        <v>232</v>
      </c>
      <c r="FJ15" s="20">
        <v>31426.501999999997</v>
      </c>
      <c r="FK15" s="20">
        <v>84299.290000000008</v>
      </c>
      <c r="FL15" s="20">
        <v>302468.21000000002</v>
      </c>
      <c r="FM15" s="343">
        <f t="shared" si="28"/>
        <v>418194.00199999998</v>
      </c>
      <c r="FN15" s="20">
        <v>31693.168666666661</v>
      </c>
      <c r="FO15" s="20">
        <v>84736.09</v>
      </c>
      <c r="FP15" s="20">
        <v>302468.21000000002</v>
      </c>
      <c r="FQ15" s="20">
        <v>418897.46866666671</v>
      </c>
      <c r="FR15" s="20">
        <v>418897.46866666671</v>
      </c>
      <c r="FS15" s="103"/>
      <c r="FT15" s="408"/>
      <c r="GI15" s="481"/>
      <c r="GJ15" s="279"/>
      <c r="GK15" s="279"/>
      <c r="GL15" s="279"/>
      <c r="GM15" s="279"/>
      <c r="GN15" s="279"/>
      <c r="GO15" s="279"/>
      <c r="GP15" s="279"/>
      <c r="GQ15" s="279"/>
      <c r="GR15" s="279"/>
      <c r="HW15" s="338">
        <v>10</v>
      </c>
      <c r="HX15" s="322">
        <v>10</v>
      </c>
      <c r="HY15" s="322">
        <v>10</v>
      </c>
      <c r="HZ15" s="322">
        <v>12</v>
      </c>
      <c r="IA15" s="347">
        <v>66094200.81818182</v>
      </c>
      <c r="IB15" s="347">
        <v>78681161</v>
      </c>
      <c r="IC15" s="342">
        <f t="shared" si="5"/>
        <v>1.2</v>
      </c>
      <c r="ID15" s="342">
        <f t="shared" si="6"/>
        <v>1.1904397061467402</v>
      </c>
      <c r="IE15" s="344">
        <v>0.58333333333333337</v>
      </c>
      <c r="IF15" s="344">
        <v>0.41666666666666669</v>
      </c>
      <c r="IG15" s="344">
        <v>0</v>
      </c>
      <c r="IK15" s="364">
        <v>10</v>
      </c>
      <c r="IL15" s="365">
        <v>10</v>
      </c>
      <c r="IM15" s="341">
        <f t="shared" si="7"/>
        <v>1.1904397061467402</v>
      </c>
      <c r="IN15" s="20">
        <v>185.75</v>
      </c>
      <c r="IO15" s="343">
        <f t="shared" si="29"/>
        <v>221.124175416757</v>
      </c>
      <c r="IP15" s="20">
        <v>7200809.3636363633</v>
      </c>
      <c r="IQ15" s="343">
        <v>8577715</v>
      </c>
      <c r="IR15" s="20">
        <v>2984607.290836364</v>
      </c>
      <c r="IS15" s="343">
        <v>3513562</v>
      </c>
      <c r="IT15" s="20">
        <v>225000</v>
      </c>
      <c r="IU15" s="20">
        <v>270000</v>
      </c>
      <c r="IV15" s="20">
        <f t="shared" si="30"/>
        <v>3209793.040836364</v>
      </c>
      <c r="IW15" s="20">
        <f t="shared" si="30"/>
        <v>3783783.1241754168</v>
      </c>
      <c r="IX15" s="314"/>
      <c r="IY15" s="315"/>
      <c r="IZ15" s="314"/>
      <c r="JA15" s="366">
        <v>10</v>
      </c>
      <c r="JB15" s="365">
        <v>10</v>
      </c>
      <c r="JC15" s="367">
        <f t="shared" si="8"/>
        <v>1.2</v>
      </c>
      <c r="JD15" s="368">
        <f t="shared" si="8"/>
        <v>1.1904397061467402</v>
      </c>
      <c r="JE15" s="20">
        <v>1073020.2636695188</v>
      </c>
      <c r="JF15" s="343">
        <f t="shared" si="70"/>
        <v>1277365.9273722395</v>
      </c>
      <c r="JG15" s="20">
        <v>89875.028000000006</v>
      </c>
      <c r="JH15" s="343">
        <f t="shared" si="31"/>
        <v>106990.80192225006</v>
      </c>
      <c r="JI15" s="20">
        <v>572414.47014866315</v>
      </c>
      <c r="JJ15" s="343">
        <f t="shared" si="32"/>
        <v>686897.36417839571</v>
      </c>
      <c r="JK15" s="20">
        <v>662231.94988330337</v>
      </c>
      <c r="JL15" s="343">
        <v>791101.506315395</v>
      </c>
      <c r="JM15" s="20">
        <v>116059.51709090911</v>
      </c>
      <c r="JN15" s="343">
        <f t="shared" si="33"/>
        <v>138161.85742123442</v>
      </c>
      <c r="JO15" s="20">
        <v>46136.540909090909</v>
      </c>
      <c r="JP15" s="343">
        <f t="shared" si="34"/>
        <v>54922.770202445237</v>
      </c>
      <c r="JQ15" s="20">
        <v>82525.475909090906</v>
      </c>
      <c r="JR15" s="343">
        <f t="shared" si="35"/>
        <v>98241.603290838073</v>
      </c>
      <c r="JS15" s="20">
        <v>322787.53398636356</v>
      </c>
      <c r="JT15" s="343">
        <f t="shared" si="36"/>
        <v>384259.09710655757</v>
      </c>
      <c r="JU15" s="20">
        <f t="shared" si="37"/>
        <v>2965050.7795969401</v>
      </c>
      <c r="JV15" s="20">
        <f t="shared" si="37"/>
        <v>3537940.9278093553</v>
      </c>
      <c r="JW15" s="369">
        <f t="shared" si="9"/>
        <v>4.4965540452680353</v>
      </c>
      <c r="KA15" s="338">
        <v>10</v>
      </c>
      <c r="KB15" s="322">
        <v>10</v>
      </c>
      <c r="KC15" s="518">
        <f t="shared" si="10"/>
        <v>12</v>
      </c>
      <c r="KD15" s="518">
        <f t="shared" si="11"/>
        <v>12</v>
      </c>
      <c r="KE15" s="370">
        <f t="shared" si="12"/>
        <v>78681161</v>
      </c>
      <c r="KF15" s="370">
        <f t="shared" si="13"/>
        <v>82045033.831934348</v>
      </c>
      <c r="KG15" s="371">
        <f t="shared" si="38"/>
        <v>1</v>
      </c>
      <c r="KH15" s="371">
        <f t="shared" si="39"/>
        <v>1.0427532180407753</v>
      </c>
      <c r="KI15" s="371">
        <f t="shared" si="40"/>
        <v>0.97089210801880854</v>
      </c>
      <c r="KJ15" s="322" t="s">
        <v>256</v>
      </c>
      <c r="KK15" s="322"/>
      <c r="KL15" s="323"/>
      <c r="KM15" s="322"/>
      <c r="KN15" s="338">
        <v>10</v>
      </c>
      <c r="KO15" s="322">
        <v>10</v>
      </c>
      <c r="KP15" s="437" t="str">
        <f t="shared" si="14"/>
        <v>Q3</v>
      </c>
      <c r="KQ15" s="373">
        <f t="shared" si="15"/>
        <v>0.97089210801880854</v>
      </c>
      <c r="KR15" s="358">
        <f t="shared" si="41"/>
        <v>221.124175416757</v>
      </c>
      <c r="KS15" s="358">
        <f t="shared" si="42"/>
        <v>214.687716804296</v>
      </c>
      <c r="KT15" s="358">
        <f t="shared" si="16"/>
        <v>8577715</v>
      </c>
      <c r="KU15" s="358">
        <f t="shared" si="43"/>
        <v>8933965.3182613403</v>
      </c>
      <c r="KV15" s="358">
        <f t="shared" si="17"/>
        <v>3513562</v>
      </c>
      <c r="KW15" s="358">
        <f t="shared" si="18"/>
        <v>4904280.0067709424</v>
      </c>
      <c r="KX15" s="358">
        <f t="shared" si="44"/>
        <v>270000</v>
      </c>
      <c r="KY15" s="358">
        <f t="shared" si="45"/>
        <v>177249.14455358198</v>
      </c>
      <c r="KZ15" s="358">
        <f t="shared" si="46"/>
        <v>3783783.1241754168</v>
      </c>
      <c r="LA15" s="358">
        <f t="shared" si="46"/>
        <v>5081743.839041329</v>
      </c>
      <c r="LB15" s="326"/>
      <c r="LC15" s="323"/>
      <c r="LD15" s="322"/>
      <c r="LE15" s="374">
        <f t="shared" si="71"/>
        <v>10</v>
      </c>
      <c r="LF15" s="375">
        <v>9</v>
      </c>
      <c r="LG15" s="376">
        <f t="shared" si="72"/>
        <v>1</v>
      </c>
      <c r="LH15" s="376">
        <f t="shared" si="72"/>
        <v>1.0427532180407753</v>
      </c>
      <c r="LI15" s="377">
        <v>113.92083696213525</v>
      </c>
      <c r="LJ15" s="290">
        <f t="shared" si="73"/>
        <v>506375.67711652815</v>
      </c>
      <c r="LK15" s="377">
        <v>113.92083696213525</v>
      </c>
      <c r="LL15" s="290">
        <f t="shared" si="47"/>
        <v>55101.908017810041</v>
      </c>
      <c r="LM15" s="377">
        <v>113.92083696213525</v>
      </c>
      <c r="LN15" s="290">
        <f t="shared" si="48"/>
        <v>398481.51935421076</v>
      </c>
      <c r="LO15" s="377">
        <v>118.41952153062</v>
      </c>
      <c r="LP15" s="290">
        <f t="shared" si="74"/>
        <v>533357.53493713646</v>
      </c>
      <c r="LQ15" s="377">
        <v>118.887537452888</v>
      </c>
      <c r="LR15" s="290">
        <f t="shared" si="49"/>
        <v>74031.623599153245</v>
      </c>
      <c r="LS15" s="377">
        <v>168.49721907230401</v>
      </c>
      <c r="LT15" s="290">
        <f t="shared" si="50"/>
        <v>60024.551526926873</v>
      </c>
      <c r="LU15" s="377">
        <v>107.679074448752</v>
      </c>
      <c r="LV15" s="290">
        <f t="shared" si="51"/>
        <v>100268.18045167021</v>
      </c>
      <c r="LW15" s="377">
        <v>115.99271402550001</v>
      </c>
      <c r="LX15" s="378">
        <f t="shared" si="52"/>
        <v>279723.76894084265</v>
      </c>
      <c r="LY15" s="379">
        <f t="shared" si="53"/>
        <v>2124168.7560846745</v>
      </c>
      <c r="LZ15" s="379">
        <f t="shared" si="75"/>
        <v>2007364.7639442787</v>
      </c>
      <c r="MA15" s="103"/>
      <c r="MB15" s="335"/>
      <c r="MD15" s="338">
        <v>10</v>
      </c>
      <c r="ME15" s="380">
        <v>10</v>
      </c>
      <c r="MF15" s="20">
        <f t="shared" si="19"/>
        <v>3209793.040836364</v>
      </c>
      <c r="MG15" s="20">
        <f t="shared" si="19"/>
        <v>3783783.1241754168</v>
      </c>
      <c r="MH15" s="343">
        <f t="shared" si="20"/>
        <v>5081743.839041329</v>
      </c>
      <c r="MI15" s="20">
        <f t="shared" si="21"/>
        <v>2965050.7795969401</v>
      </c>
      <c r="MJ15" s="20">
        <f t="shared" si="21"/>
        <v>3537940.9278093553</v>
      </c>
      <c r="MK15" s="343">
        <f t="shared" si="54"/>
        <v>3434958.9254468442</v>
      </c>
      <c r="ML15" s="20">
        <f t="shared" si="55"/>
        <v>244742.26123942388</v>
      </c>
      <c r="MM15" s="20">
        <f t="shared" si="55"/>
        <v>245842.19636606146</v>
      </c>
      <c r="MN15" s="20">
        <f t="shared" si="55"/>
        <v>1646784.9135944848</v>
      </c>
      <c r="MX15" s="283">
        <f t="shared" si="85"/>
        <v>9</v>
      </c>
      <c r="MY15" s="388" t="s">
        <v>58</v>
      </c>
      <c r="MZ15" s="17">
        <f t="shared" si="115"/>
        <v>2039224.3304643496</v>
      </c>
      <c r="NA15" s="381">
        <f t="shared" si="116"/>
        <v>9.2573719777447105E-2</v>
      </c>
      <c r="NB15" s="97"/>
      <c r="NC15" s="18">
        <f t="shared" si="117"/>
        <v>2039224.3304643496</v>
      </c>
      <c r="ND15" s="381">
        <f t="shared" si="118"/>
        <v>9.2573719777447105E-2</v>
      </c>
      <c r="NH15" s="283">
        <f t="shared" si="86"/>
        <v>9</v>
      </c>
      <c r="NI15" s="388" t="str">
        <f t="shared" si="58"/>
        <v>Contract Labour</v>
      </c>
      <c r="NJ15" s="17">
        <v>2413478.5233385852</v>
      </c>
      <c r="NK15" s="17">
        <f t="shared" si="119"/>
        <v>2039224.3304643496</v>
      </c>
      <c r="NL15" s="17">
        <f t="shared" si="77"/>
        <v>-374254.19287423557</v>
      </c>
      <c r="NM15" s="395">
        <f t="shared" si="78"/>
        <v>-0.15506837506742202</v>
      </c>
    </row>
    <row r="16" spans="2:387" x14ac:dyDescent="0.3">
      <c r="B16" s="265">
        <f t="shared" si="79"/>
        <v>11</v>
      </c>
      <c r="C16" s="384"/>
      <c r="D16" s="97" t="s">
        <v>49</v>
      </c>
      <c r="E16" s="286"/>
      <c r="F16" s="18">
        <f>DK9</f>
        <v>15891148.762049999</v>
      </c>
      <c r="G16" s="313">
        <f t="shared" si="108"/>
        <v>0.76458980113025965</v>
      </c>
      <c r="H16" s="18">
        <f>DM9</f>
        <v>17229598.204603884</v>
      </c>
      <c r="I16" s="309">
        <f t="shared" si="109"/>
        <v>0.82699638874046988</v>
      </c>
      <c r="J16" s="290">
        <f t="shared" si="59"/>
        <v>1338449.4425538853</v>
      </c>
      <c r="K16" s="18">
        <f>JJ26</f>
        <v>17704130.732731506</v>
      </c>
      <c r="L16" s="309">
        <f t="shared" si="110"/>
        <v>0.83806722629177899</v>
      </c>
      <c r="M16" s="290">
        <f t="shared" si="60"/>
        <v>474532.52812762186</v>
      </c>
      <c r="N16" s="18">
        <f>LN27</f>
        <v>15711197.861928774</v>
      </c>
      <c r="O16" s="309">
        <f t="shared" si="111"/>
        <v>0.71323395200322603</v>
      </c>
      <c r="P16" s="290">
        <f t="shared" si="61"/>
        <v>-1992932.8708027322</v>
      </c>
      <c r="Q16" s="18">
        <f t="shared" si="62"/>
        <v>-179950.90012122504</v>
      </c>
      <c r="R16" s="310">
        <f t="shared" si="63"/>
        <v>-6.7167844837998758E-2</v>
      </c>
      <c r="V16" s="249">
        <f t="shared" si="64"/>
        <v>8</v>
      </c>
      <c r="W16" s="463" t="s">
        <v>134</v>
      </c>
      <c r="X16" s="20">
        <f>X14-X10</f>
        <v>1139133.5835034992</v>
      </c>
      <c r="Y16" s="20">
        <f t="shared" ref="Y16:AA16" si="120">Y14-Y10</f>
        <v>1002184.7413331178</v>
      </c>
      <c r="Z16" s="20">
        <f t="shared" si="120"/>
        <v>-2317494.9093960105</v>
      </c>
      <c r="AA16" s="20">
        <f t="shared" si="120"/>
        <v>-176176.58455939358</v>
      </c>
      <c r="AB16" s="20"/>
      <c r="AC16" s="349"/>
      <c r="AF16" s="385">
        <f t="shared" si="80"/>
        <v>10</v>
      </c>
      <c r="AG16" s="388" t="s">
        <v>186</v>
      </c>
      <c r="AH16" s="389">
        <f>AH15*3600/$K$24</f>
        <v>3.0694523728800589</v>
      </c>
      <c r="AI16" s="389">
        <f>AI15*3600/$K$24</f>
        <v>0.19273652493560511</v>
      </c>
      <c r="AJ16" s="389">
        <f>AJ15*3600/$K$24</f>
        <v>0.93284596095336303</v>
      </c>
      <c r="AL16" s="464"/>
      <c r="AN16" s="283">
        <f>AN15+1</f>
        <v>11</v>
      </c>
      <c r="AO16" s="390"/>
      <c r="AP16" s="390"/>
      <c r="AQ16" s="390" t="s">
        <v>50</v>
      </c>
      <c r="AR16" s="286"/>
      <c r="AS16" s="392">
        <v>3443976.8344000001</v>
      </c>
      <c r="AT16" s="393">
        <v>0.33584033829171284</v>
      </c>
      <c r="AU16" s="394"/>
      <c r="AV16" s="392">
        <v>5716425.9886499979</v>
      </c>
      <c r="AW16" s="393">
        <v>0.52970164931322072</v>
      </c>
      <c r="AX16" s="383">
        <f t="shared" si="96"/>
        <v>0.57724248375762066</v>
      </c>
      <c r="AY16" s="394"/>
      <c r="AZ16" s="392">
        <v>7023487.4984412417</v>
      </c>
      <c r="BA16" s="393">
        <v>0.54439866027303074</v>
      </c>
      <c r="BB16" s="383">
        <f t="shared" si="97"/>
        <v>2.7745828201338085E-2</v>
      </c>
      <c r="BC16" s="394"/>
      <c r="BD16" s="392">
        <v>8390599.8471698686</v>
      </c>
      <c r="BE16" s="393">
        <v>0.57055201798647071</v>
      </c>
      <c r="BF16" s="383">
        <f t="shared" si="98"/>
        <v>4.8040819388356581E-2</v>
      </c>
      <c r="BG16" s="394"/>
      <c r="BH16" s="392">
        <v>9500186.8885000013</v>
      </c>
      <c r="BI16" s="393">
        <v>0.62515977885076657</v>
      </c>
      <c r="BJ16" s="383">
        <f t="shared" si="99"/>
        <v>9.5710398250822948E-2</v>
      </c>
      <c r="BK16" s="394"/>
      <c r="BL16" s="392">
        <v>10661854.069499999</v>
      </c>
      <c r="BM16" s="393">
        <v>0.63383023373989222</v>
      </c>
      <c r="BN16" s="383">
        <f t="shared" si="100"/>
        <v>1.386918221940725E-2</v>
      </c>
      <c r="BO16" s="394"/>
      <c r="BP16" s="392">
        <v>13069899.7289</v>
      </c>
      <c r="BQ16" s="393">
        <v>0.70465626418798799</v>
      </c>
      <c r="BR16" s="383">
        <f t="shared" si="101"/>
        <v>0.11174290319063718</v>
      </c>
      <c r="BS16" s="394"/>
      <c r="BT16" s="97">
        <v>15592449</v>
      </c>
      <c r="BU16" s="97">
        <v>0.79</v>
      </c>
      <c r="BV16" s="97">
        <f t="shared" si="102"/>
        <v>0.12111399578680837</v>
      </c>
      <c r="BW16" s="18">
        <v>21298745.488500003</v>
      </c>
      <c r="BX16" s="19">
        <v>1.100304672859262</v>
      </c>
      <c r="BY16" s="19">
        <f t="shared" si="65"/>
        <v>0.39279072513830626</v>
      </c>
      <c r="BZ16" s="19">
        <v>23700279.210100003</v>
      </c>
      <c r="CA16" s="19">
        <v>1.1618369851162706</v>
      </c>
      <c r="CB16" s="19">
        <f t="shared" si="66"/>
        <v>5.5922976403535829E-2</v>
      </c>
      <c r="CC16" s="18">
        <f t="shared" si="103"/>
        <v>24697713.659500003</v>
      </c>
      <c r="CD16" s="19">
        <f t="shared" si="103"/>
        <v>1.1883105657147701</v>
      </c>
      <c r="CE16" s="395">
        <f t="shared" si="104"/>
        <v>2.2785968201769924E-2</v>
      </c>
      <c r="CF16" s="396">
        <f t="shared" si="68"/>
        <v>6.1712775221970295</v>
      </c>
      <c r="CG16" s="395">
        <f t="shared" si="105"/>
        <v>0.11566328314482499</v>
      </c>
      <c r="DA16" s="518"/>
      <c r="DK16" s="518"/>
      <c r="DQ16" s="537"/>
      <c r="DR16" s="537"/>
      <c r="DS16" s="537"/>
      <c r="DT16" s="537"/>
      <c r="DU16" s="537"/>
      <c r="DV16" s="537"/>
      <c r="DW16" s="537"/>
      <c r="DX16" s="537"/>
      <c r="DY16" s="537"/>
      <c r="DZ16" s="537"/>
      <c r="EN16" s="482"/>
      <c r="EO16" s="408"/>
      <c r="FD16" s="482"/>
      <c r="FE16" s="408"/>
      <c r="FG16" s="283">
        <f t="shared" si="84"/>
        <v>11</v>
      </c>
      <c r="FH16" s="406"/>
      <c r="FI16" s="407" t="s">
        <v>233</v>
      </c>
      <c r="FJ16" s="17">
        <v>83333.559999999983</v>
      </c>
      <c r="FK16" s="17">
        <v>215960.19999999998</v>
      </c>
      <c r="FL16" s="17">
        <v>506222.52</v>
      </c>
      <c r="FM16" s="290">
        <f t="shared" si="28"/>
        <v>805516.27999999991</v>
      </c>
      <c r="FN16" s="17">
        <v>87054.353030303013</v>
      </c>
      <c r="FO16" s="17">
        <v>217398.19999999998</v>
      </c>
      <c r="FP16" s="17">
        <v>506222.52000000014</v>
      </c>
      <c r="FQ16" s="17">
        <v>810675.07303030312</v>
      </c>
      <c r="FR16" s="17">
        <v>810675.07303030312</v>
      </c>
      <c r="FS16" s="103"/>
      <c r="FT16" s="408"/>
      <c r="GK16" s="344"/>
      <c r="GL16" s="344"/>
      <c r="GM16" s="344"/>
      <c r="GN16" s="344"/>
      <c r="GO16" s="344"/>
      <c r="GP16" s="344"/>
      <c r="GQ16" s="344"/>
      <c r="GR16" s="344"/>
      <c r="HW16" s="283">
        <v>11</v>
      </c>
      <c r="HX16" s="306">
        <v>11</v>
      </c>
      <c r="HY16" s="306">
        <v>10</v>
      </c>
      <c r="HZ16" s="306">
        <v>10</v>
      </c>
      <c r="IA16" s="307">
        <v>80622257</v>
      </c>
      <c r="IB16" s="307">
        <v>83015823</v>
      </c>
      <c r="IC16" s="309">
        <f t="shared" si="5"/>
        <v>1</v>
      </c>
      <c r="ID16" s="309">
        <f t="shared" si="6"/>
        <v>1.0296886503685949</v>
      </c>
      <c r="IE16" s="310">
        <v>0</v>
      </c>
      <c r="IF16" s="310">
        <v>1</v>
      </c>
      <c r="IG16" s="310">
        <v>0</v>
      </c>
      <c r="IK16" s="410">
        <v>11</v>
      </c>
      <c r="IL16" s="317">
        <v>11</v>
      </c>
      <c r="IM16" s="313">
        <f t="shared" si="7"/>
        <v>1.0296886503685949</v>
      </c>
      <c r="IN16" s="17">
        <v>0</v>
      </c>
      <c r="IO16" s="290">
        <f t="shared" si="29"/>
        <v>0</v>
      </c>
      <c r="IP16" s="17">
        <v>8901393</v>
      </c>
      <c r="IQ16" s="290">
        <v>9057976</v>
      </c>
      <c r="IR16" s="17">
        <v>3757373.3893999998</v>
      </c>
      <c r="IS16" s="290">
        <v>3781161</v>
      </c>
      <c r="IT16" s="17">
        <v>225000</v>
      </c>
      <c r="IU16" s="17">
        <v>225000</v>
      </c>
      <c r="IV16" s="17">
        <f t="shared" si="30"/>
        <v>3982373.3893999998</v>
      </c>
      <c r="IW16" s="17">
        <f t="shared" si="30"/>
        <v>4006161</v>
      </c>
      <c r="IX16" s="314"/>
      <c r="IY16" s="315"/>
      <c r="IZ16" s="314"/>
      <c r="JA16" s="316">
        <v>11</v>
      </c>
      <c r="JB16" s="317">
        <v>11</v>
      </c>
      <c r="JC16" s="318">
        <f t="shared" si="8"/>
        <v>1</v>
      </c>
      <c r="JD16" s="319">
        <f t="shared" si="8"/>
        <v>1.0296886503685949</v>
      </c>
      <c r="JE16" s="17">
        <v>1255752.9763298852</v>
      </c>
      <c r="JF16" s="290">
        <f t="shared" si="70"/>
        <v>1293034.5873934657</v>
      </c>
      <c r="JG16" s="17">
        <v>87580.62999999999</v>
      </c>
      <c r="JH16" s="290">
        <f t="shared" si="31"/>
        <v>90180.78070313127</v>
      </c>
      <c r="JI16" s="17">
        <v>639216.06367011496</v>
      </c>
      <c r="JJ16" s="290">
        <f t="shared" si="32"/>
        <v>639216.06367011496</v>
      </c>
      <c r="JK16" s="17">
        <v>1076517.2886915016</v>
      </c>
      <c r="JL16" s="290">
        <v>1076517.2886915016</v>
      </c>
      <c r="JM16" s="17">
        <v>55586.068000000007</v>
      </c>
      <c r="JN16" s="290">
        <f t="shared" si="33"/>
        <v>57236.343338216946</v>
      </c>
      <c r="JO16" s="17">
        <v>41360.133999999998</v>
      </c>
      <c r="JP16" s="290">
        <f t="shared" si="34"/>
        <v>42588.06055752423</v>
      </c>
      <c r="JQ16" s="17">
        <v>92360.92</v>
      </c>
      <c r="JR16" s="290">
        <f t="shared" si="35"/>
        <v>95102.991061601759</v>
      </c>
      <c r="JS16" s="17">
        <v>306414.38704999996</v>
      </c>
      <c r="JT16" s="290">
        <f t="shared" si="36"/>
        <v>315511.4166550347</v>
      </c>
      <c r="JU16" s="17">
        <f t="shared" si="37"/>
        <v>3554788.4677415015</v>
      </c>
      <c r="JV16" s="17">
        <f t="shared" si="37"/>
        <v>3609387.5320705916</v>
      </c>
      <c r="JW16" s="320">
        <f t="shared" si="9"/>
        <v>4.347830813013311</v>
      </c>
      <c r="KA16" s="283">
        <v>11</v>
      </c>
      <c r="KB16" s="306">
        <v>11</v>
      </c>
      <c r="KC16" s="97">
        <f t="shared" si="10"/>
        <v>10</v>
      </c>
      <c r="KD16" s="97">
        <f t="shared" si="11"/>
        <v>10</v>
      </c>
      <c r="KE16" s="289">
        <f t="shared" si="12"/>
        <v>83015823</v>
      </c>
      <c r="KF16" s="289">
        <f t="shared" si="13"/>
        <v>86565016.5815534</v>
      </c>
      <c r="KG16" s="321">
        <f t="shared" si="38"/>
        <v>1</v>
      </c>
      <c r="KH16" s="321">
        <f t="shared" si="39"/>
        <v>1.0427532180407753</v>
      </c>
      <c r="KI16" s="321">
        <f t="shared" si="40"/>
        <v>0.97309155670267022</v>
      </c>
      <c r="KJ16" s="306" t="s">
        <v>256</v>
      </c>
      <c r="KK16" s="322"/>
      <c r="KL16" s="323"/>
      <c r="KM16" s="322"/>
      <c r="KN16" s="283">
        <v>11</v>
      </c>
      <c r="KO16" s="306">
        <v>11</v>
      </c>
      <c r="KP16" s="324" t="str">
        <f t="shared" si="14"/>
        <v>Q3</v>
      </c>
      <c r="KQ16" s="325">
        <f t="shared" si="15"/>
        <v>0.97309155670267022</v>
      </c>
      <c r="KR16" s="17">
        <f t="shared" si="41"/>
        <v>0</v>
      </c>
      <c r="KS16" s="17">
        <f t="shared" si="42"/>
        <v>0</v>
      </c>
      <c r="KT16" s="17">
        <f t="shared" si="16"/>
        <v>9057976</v>
      </c>
      <c r="KU16" s="17">
        <f t="shared" si="43"/>
        <v>9426150.7344677094</v>
      </c>
      <c r="KV16" s="17">
        <f t="shared" si="17"/>
        <v>3781161</v>
      </c>
      <c r="KW16" s="17">
        <f t="shared" si="18"/>
        <v>5174464.0751365554</v>
      </c>
      <c r="KX16" s="17">
        <f t="shared" si="44"/>
        <v>225000</v>
      </c>
      <c r="KY16" s="17">
        <f t="shared" si="45"/>
        <v>187014.063139734</v>
      </c>
      <c r="KZ16" s="17">
        <f t="shared" si="46"/>
        <v>4006161</v>
      </c>
      <c r="LA16" s="17">
        <f t="shared" si="46"/>
        <v>5361478.1382762892</v>
      </c>
      <c r="LB16" s="326"/>
      <c r="LC16" s="323"/>
      <c r="LD16" s="322"/>
      <c r="LE16" s="364">
        <f t="shared" si="71"/>
        <v>11</v>
      </c>
      <c r="LF16" s="365">
        <v>10</v>
      </c>
      <c r="LG16" s="411">
        <f t="shared" si="72"/>
        <v>1</v>
      </c>
      <c r="LH16" s="411">
        <f t="shared" si="72"/>
        <v>1.0427532180407753</v>
      </c>
      <c r="LI16" s="412">
        <v>106.45762205358784</v>
      </c>
      <c r="LJ16" s="343">
        <f t="shared" si="73"/>
        <v>1174819.9549322496</v>
      </c>
      <c r="LK16" s="412">
        <v>106.45762205358784</v>
      </c>
      <c r="LL16" s="343">
        <f t="shared" si="47"/>
        <v>98401.661105082909</v>
      </c>
      <c r="LM16" s="412">
        <v>106.45762205358784</v>
      </c>
      <c r="LN16" s="343">
        <f t="shared" si="48"/>
        <v>605851.6544001993</v>
      </c>
      <c r="LO16" s="412">
        <v>118.614283549666</v>
      </c>
      <c r="LP16" s="343">
        <f t="shared" si="74"/>
        <v>827510.55484717013</v>
      </c>
      <c r="LQ16" s="412">
        <v>119.48337591187899</v>
      </c>
      <c r="LR16" s="343">
        <f t="shared" si="49"/>
        <v>150622.21917587632</v>
      </c>
      <c r="LS16" s="412">
        <v>157.07111615098</v>
      </c>
      <c r="LT16" s="343">
        <f t="shared" si="50"/>
        <v>52072.664136023523</v>
      </c>
      <c r="LU16" s="412">
        <v>112.15574935818501</v>
      </c>
      <c r="LV16" s="343">
        <f t="shared" si="51"/>
        <v>107695.39908568563</v>
      </c>
      <c r="LW16" s="412">
        <v>116.939890710382</v>
      </c>
      <c r="LX16" s="343">
        <f t="shared" si="52"/>
        <v>417984.81776455708</v>
      </c>
      <c r="LY16" s="20">
        <f t="shared" si="53"/>
        <v>3537940.9278093553</v>
      </c>
      <c r="LZ16" s="20">
        <f t="shared" si="75"/>
        <v>3434958.9254468442</v>
      </c>
      <c r="MA16" s="103"/>
      <c r="MB16" s="335"/>
      <c r="MD16" s="283">
        <v>11</v>
      </c>
      <c r="ME16" s="336">
        <v>11</v>
      </c>
      <c r="MF16" s="17">
        <f t="shared" si="19"/>
        <v>3982373.3893999998</v>
      </c>
      <c r="MG16" s="17">
        <f t="shared" si="19"/>
        <v>4006161</v>
      </c>
      <c r="MH16" s="290">
        <f t="shared" si="20"/>
        <v>5361478.1382762892</v>
      </c>
      <c r="MI16" s="17">
        <f t="shared" si="21"/>
        <v>3554788.4677415015</v>
      </c>
      <c r="MJ16" s="17">
        <f t="shared" si="21"/>
        <v>3609387.5320705916</v>
      </c>
      <c r="MK16" s="290">
        <f t="shared" si="54"/>
        <v>3512264.532325781</v>
      </c>
      <c r="ML16" s="17">
        <f t="shared" si="55"/>
        <v>427584.92165849824</v>
      </c>
      <c r="MM16" s="17">
        <f t="shared" si="55"/>
        <v>396773.46792940842</v>
      </c>
      <c r="MN16" s="17">
        <f t="shared" si="55"/>
        <v>1849213.6059505083</v>
      </c>
      <c r="MX16" s="338">
        <f t="shared" si="85"/>
        <v>10</v>
      </c>
      <c r="MY16" s="346" t="s">
        <v>49</v>
      </c>
      <c r="MZ16" s="20">
        <f t="shared" si="115"/>
        <v>15711197.861928774</v>
      </c>
      <c r="NA16" s="414">
        <f t="shared" si="116"/>
        <v>0.71323395200322603</v>
      </c>
      <c r="NC16" s="15">
        <f t="shared" si="117"/>
        <v>15711197.861928774</v>
      </c>
      <c r="ND16" s="414">
        <f t="shared" si="118"/>
        <v>0.71323395200322603</v>
      </c>
      <c r="NH16" s="338">
        <f t="shared" si="86"/>
        <v>10</v>
      </c>
      <c r="NI16" s="346" t="str">
        <f t="shared" si="58"/>
        <v>Overhead Labour</v>
      </c>
      <c r="NJ16" s="20">
        <v>23349083.540678918</v>
      </c>
      <c r="NK16" s="20">
        <f t="shared" si="119"/>
        <v>15711197.861928774</v>
      </c>
      <c r="NL16" s="20">
        <f t="shared" si="77"/>
        <v>-7637885.6787501443</v>
      </c>
      <c r="NM16" s="351">
        <f t="shared" si="78"/>
        <v>-0.32711715067717206</v>
      </c>
    </row>
    <row r="17" spans="2:377" x14ac:dyDescent="0.3">
      <c r="B17" s="226">
        <f t="shared" si="79"/>
        <v>12</v>
      </c>
      <c r="C17" s="339"/>
      <c r="D17" s="518" t="s">
        <v>50</v>
      </c>
      <c r="E17" s="340"/>
      <c r="F17" s="15">
        <f>DV12</f>
        <v>24697713.659500003</v>
      </c>
      <c r="G17" s="341">
        <f t="shared" si="108"/>
        <v>1.1883105657147701</v>
      </c>
      <c r="H17" s="15">
        <f>DZ12</f>
        <v>20963340.954979219</v>
      </c>
      <c r="I17" s="342">
        <f t="shared" si="109"/>
        <v>1.0062107693881408</v>
      </c>
      <c r="J17" s="343">
        <f t="shared" si="59"/>
        <v>-3734372.7045207843</v>
      </c>
      <c r="K17" s="15">
        <f>JL26</f>
        <v>21765718.436968524</v>
      </c>
      <c r="L17" s="342">
        <f t="shared" si="110"/>
        <v>1.0303321611263139</v>
      </c>
      <c r="M17" s="343">
        <f t="shared" si="60"/>
        <v>802377.48198930547</v>
      </c>
      <c r="N17" s="15">
        <f>LP27</f>
        <v>22755368.059679482</v>
      </c>
      <c r="O17" s="342">
        <f t="shared" si="111"/>
        <v>1.0330148746851009</v>
      </c>
      <c r="P17" s="343">
        <f t="shared" si="61"/>
        <v>989649.62271095812</v>
      </c>
      <c r="Q17" s="15">
        <f t="shared" si="62"/>
        <v>-1942345.5998205207</v>
      </c>
      <c r="R17" s="344">
        <f t="shared" si="63"/>
        <v>-0.13068611481734882</v>
      </c>
      <c r="V17" s="275"/>
      <c r="W17" s="276" t="s">
        <v>28</v>
      </c>
      <c r="X17" s="415"/>
      <c r="Y17" s="416"/>
      <c r="Z17" s="416"/>
      <c r="AA17" s="416"/>
      <c r="AB17" s="279"/>
      <c r="AC17" s="351"/>
      <c r="AF17" s="417">
        <f t="shared" si="80"/>
        <v>11</v>
      </c>
      <c r="AG17" s="418" t="s">
        <v>195</v>
      </c>
      <c r="AH17" s="477">
        <f>JF26/AH15</f>
        <v>20.537971247053672</v>
      </c>
      <c r="AI17" s="477">
        <f>JH26/AI15</f>
        <v>19.390724851022238</v>
      </c>
      <c r="AJ17" s="477">
        <f>JJ26/AJ15</f>
        <v>32.342338831236461</v>
      </c>
      <c r="AL17" s="464"/>
      <c r="AN17" s="338">
        <f t="shared" ref="AN17:AN20" si="121">AN16+1</f>
        <v>12</v>
      </c>
      <c r="AO17" s="96"/>
      <c r="AQ17" s="518" t="s">
        <v>234</v>
      </c>
      <c r="AR17" s="340"/>
      <c r="AS17" s="348">
        <v>1216501.406</v>
      </c>
      <c r="AT17" s="349">
        <v>0.11862746567938538</v>
      </c>
      <c r="AU17" s="350"/>
      <c r="AV17" s="348">
        <v>2361150.2250000001</v>
      </c>
      <c r="AW17" s="349">
        <v>0.2187914565748014</v>
      </c>
      <c r="AX17" s="351">
        <f t="shared" si="96"/>
        <v>0.84435750457764458</v>
      </c>
      <c r="AY17" s="350"/>
      <c r="AZ17" s="348">
        <v>2483160.2930935998</v>
      </c>
      <c r="BA17" s="349">
        <v>0.19247263373122833</v>
      </c>
      <c r="BB17" s="351">
        <f t="shared" si="97"/>
        <v>-0.12029182151623485</v>
      </c>
      <c r="BC17" s="350"/>
      <c r="BD17" s="348">
        <v>3556357.1057280144</v>
      </c>
      <c r="BE17" s="349">
        <v>0.24182856533648778</v>
      </c>
      <c r="BF17" s="351">
        <f t="shared" si="98"/>
        <v>0.25643090473932428</v>
      </c>
      <c r="BG17" s="350"/>
      <c r="BH17" s="348">
        <v>3747904.7313999999</v>
      </c>
      <c r="BI17" s="349">
        <v>0.24663086321723002</v>
      </c>
      <c r="BJ17" s="351">
        <f t="shared" si="99"/>
        <v>1.9858273872898957E-2</v>
      </c>
      <c r="BK17" s="350"/>
      <c r="BL17" s="348">
        <v>4022436.6702577379</v>
      </c>
      <c r="BM17" s="349">
        <v>0.23912744990636886</v>
      </c>
      <c r="BN17" s="351">
        <f t="shared" si="100"/>
        <v>-3.0423659119468094E-2</v>
      </c>
      <c r="BO17" s="350"/>
      <c r="BP17" s="105">
        <v>5745533.5202000001</v>
      </c>
      <c r="BQ17" s="349">
        <v>0.30976719562421123</v>
      </c>
      <c r="BR17" s="351">
        <f t="shared" si="101"/>
        <v>0.29540626032478334</v>
      </c>
      <c r="BS17" s="350"/>
      <c r="BT17" s="518">
        <v>6723403</v>
      </c>
      <c r="BU17" s="518">
        <v>0.34</v>
      </c>
      <c r="BV17" s="518">
        <f t="shared" si="102"/>
        <v>9.759847008611322E-2</v>
      </c>
      <c r="BW17" s="15">
        <v>7155288.9644999998</v>
      </c>
      <c r="BX17" s="16">
        <v>0.36964608490901918</v>
      </c>
      <c r="BY17" s="16">
        <f t="shared" si="65"/>
        <v>8.7194367379468174E-2</v>
      </c>
      <c r="BZ17" s="16">
        <v>8029824.328999999</v>
      </c>
      <c r="CA17" s="16">
        <v>0.39363869120338835</v>
      </c>
      <c r="CB17" s="16">
        <f t="shared" si="66"/>
        <v>6.4906967160965445E-2</v>
      </c>
      <c r="CC17" s="15">
        <f>F18+F19</f>
        <v>8459101.3854999989</v>
      </c>
      <c r="CD17" s="16">
        <f>G18+G19</f>
        <v>0.4070028380532128</v>
      </c>
      <c r="CE17" s="352">
        <f t="shared" si="104"/>
        <v>3.3950287785402988E-2</v>
      </c>
      <c r="CF17" s="353">
        <f t="shared" si="68"/>
        <v>5.9536305866793215</v>
      </c>
      <c r="CG17" s="352">
        <f t="shared" si="105"/>
        <v>0.1137546600202497</v>
      </c>
      <c r="CX17" s="438"/>
      <c r="CY17" s="455"/>
      <c r="CZ17" s="105"/>
      <c r="DA17" s="518"/>
      <c r="DB17" s="105"/>
      <c r="DK17" s="518"/>
      <c r="DQ17" s="537"/>
      <c r="DR17" s="537"/>
      <c r="DS17" s="537"/>
      <c r="DT17" s="537"/>
      <c r="DU17" s="537"/>
      <c r="DV17" s="537"/>
      <c r="DW17" s="537"/>
      <c r="DX17" s="537"/>
      <c r="DY17" s="537"/>
      <c r="DZ17" s="537"/>
      <c r="EI17" s="347"/>
      <c r="EO17" s="408"/>
      <c r="FE17" s="408"/>
      <c r="FG17" s="338">
        <f t="shared" si="84"/>
        <v>12</v>
      </c>
      <c r="FH17" s="360"/>
      <c r="FI17" s="361" t="s">
        <v>235</v>
      </c>
      <c r="FJ17" s="20">
        <v>28956.02</v>
      </c>
      <c r="FK17" s="20">
        <v>96946.930000000008</v>
      </c>
      <c r="FL17" s="20">
        <v>141566.59</v>
      </c>
      <c r="FM17" s="343">
        <f t="shared" si="28"/>
        <v>267469.53999999998</v>
      </c>
      <c r="FN17" s="20">
        <v>29235.52</v>
      </c>
      <c r="FO17" s="20">
        <v>97827.53</v>
      </c>
      <c r="FP17" s="20">
        <v>141566.59000000003</v>
      </c>
      <c r="FQ17" s="20">
        <v>268629.64</v>
      </c>
      <c r="FR17" s="20">
        <v>268629.64</v>
      </c>
      <c r="FS17" s="103"/>
      <c r="FT17" s="408"/>
      <c r="FV17" s="481"/>
      <c r="FW17" s="279"/>
      <c r="FX17" s="279"/>
      <c r="FY17" s="279"/>
      <c r="FZ17" s="279"/>
      <c r="GA17" s="279"/>
      <c r="GB17" s="279"/>
      <c r="GC17" s="279"/>
      <c r="GD17" s="279"/>
      <c r="GE17" s="279"/>
      <c r="HW17" s="338">
        <v>12</v>
      </c>
      <c r="HX17" s="322">
        <v>12</v>
      </c>
      <c r="HY17" s="322">
        <v>11</v>
      </c>
      <c r="HZ17" s="322">
        <v>10</v>
      </c>
      <c r="IA17" s="347">
        <v>98088319.200000003</v>
      </c>
      <c r="IB17" s="347">
        <v>88166104</v>
      </c>
      <c r="IC17" s="342">
        <f t="shared" si="5"/>
        <v>0.90909090909090906</v>
      </c>
      <c r="ID17" s="342">
        <f t="shared" si="6"/>
        <v>0.89884406949854223</v>
      </c>
      <c r="IE17" s="344">
        <v>0</v>
      </c>
      <c r="IF17" s="344">
        <v>1</v>
      </c>
      <c r="IG17" s="344">
        <v>0</v>
      </c>
      <c r="IK17" s="364">
        <v>12</v>
      </c>
      <c r="IL17" s="365">
        <v>12</v>
      </c>
      <c r="IM17" s="341">
        <f t="shared" si="7"/>
        <v>0.89884406949854223</v>
      </c>
      <c r="IN17" s="20">
        <v>274.95</v>
      </c>
      <c r="IO17" s="343">
        <f t="shared" si="29"/>
        <v>247.13717690862418</v>
      </c>
      <c r="IP17" s="20">
        <v>10676251.800000001</v>
      </c>
      <c r="IQ17" s="343">
        <v>9591387</v>
      </c>
      <c r="IR17" s="20">
        <v>4428895.8442199994</v>
      </c>
      <c r="IS17" s="343">
        <v>3936204</v>
      </c>
      <c r="IT17" s="20">
        <v>247500</v>
      </c>
      <c r="IU17" s="20">
        <v>225000</v>
      </c>
      <c r="IV17" s="20">
        <f t="shared" si="30"/>
        <v>4676670.7942199996</v>
      </c>
      <c r="IW17" s="20">
        <f t="shared" si="30"/>
        <v>4161451.1371769086</v>
      </c>
      <c r="IX17" s="314"/>
      <c r="IY17" s="315"/>
      <c r="IZ17" s="314"/>
      <c r="JA17" s="366">
        <v>12</v>
      </c>
      <c r="JB17" s="365">
        <v>12</v>
      </c>
      <c r="JC17" s="367">
        <f t="shared" si="8"/>
        <v>0.90909090909090906</v>
      </c>
      <c r="JD17" s="368">
        <f t="shared" si="8"/>
        <v>0.89884406949854223</v>
      </c>
      <c r="JE17" s="20">
        <v>1477321.4620474414</v>
      </c>
      <c r="JF17" s="343">
        <f t="shared" si="70"/>
        <v>1327881.6349042584</v>
      </c>
      <c r="JG17" s="20">
        <v>173561.70699999997</v>
      </c>
      <c r="JH17" s="343">
        <f t="shared" si="31"/>
        <v>156004.91102899361</v>
      </c>
      <c r="JI17" s="20">
        <v>902813.73595255893</v>
      </c>
      <c r="JJ17" s="343">
        <f t="shared" si="32"/>
        <v>820739.75995687174</v>
      </c>
      <c r="JK17" s="20">
        <v>919805.23799024592</v>
      </c>
      <c r="JL17" s="343">
        <v>796353.12678071694</v>
      </c>
      <c r="JM17" s="20">
        <v>125924.8045</v>
      </c>
      <c r="JN17" s="343">
        <f t="shared" si="33"/>
        <v>113186.76372758835</v>
      </c>
      <c r="JO17" s="20">
        <v>84256.07699999999</v>
      </c>
      <c r="JP17" s="343">
        <f t="shared" si="34"/>
        <v>75733.075130662517</v>
      </c>
      <c r="JQ17" s="20">
        <v>165395.27000000002</v>
      </c>
      <c r="JR17" s="343">
        <f t="shared" si="35"/>
        <v>148664.55756261016</v>
      </c>
      <c r="JS17" s="20">
        <v>525941.78747999994</v>
      </c>
      <c r="JT17" s="343">
        <f t="shared" si="36"/>
        <v>472739.65657786059</v>
      </c>
      <c r="JU17" s="20">
        <f t="shared" si="37"/>
        <v>4375020.0819702465</v>
      </c>
      <c r="JV17" s="20">
        <f t="shared" si="37"/>
        <v>3911303.4856695626</v>
      </c>
      <c r="JW17" s="369">
        <f t="shared" si="9"/>
        <v>4.4362893540918655</v>
      </c>
      <c r="KA17" s="338">
        <v>12</v>
      </c>
      <c r="KB17" s="322">
        <v>12</v>
      </c>
      <c r="KC17" s="518">
        <f t="shared" si="10"/>
        <v>10</v>
      </c>
      <c r="KD17" s="518">
        <f t="shared" si="11"/>
        <v>10</v>
      </c>
      <c r="KE17" s="370">
        <f t="shared" si="12"/>
        <v>88166104</v>
      </c>
      <c r="KF17" s="370">
        <f t="shared" si="13"/>
        <v>91935488.668117672</v>
      </c>
      <c r="KG17" s="371">
        <f t="shared" si="38"/>
        <v>1</v>
      </c>
      <c r="KH17" s="371">
        <f t="shared" si="39"/>
        <v>1.0427532180407753</v>
      </c>
      <c r="KI17" s="371">
        <f t="shared" si="40"/>
        <v>1.0506873411292057</v>
      </c>
      <c r="KJ17" s="322" t="s">
        <v>440</v>
      </c>
      <c r="KK17" s="322"/>
      <c r="KL17" s="323"/>
      <c r="KM17" s="322"/>
      <c r="KN17" s="338">
        <v>12</v>
      </c>
      <c r="KO17" s="322">
        <v>12</v>
      </c>
      <c r="KP17" s="437" t="str">
        <f t="shared" si="14"/>
        <v>Q4</v>
      </c>
      <c r="KQ17" s="373">
        <f t="shared" si="15"/>
        <v>1.0506873411292057</v>
      </c>
      <c r="KR17" s="358">
        <f t="shared" si="41"/>
        <v>247.13717690862418</v>
      </c>
      <c r="KS17" s="358">
        <f t="shared" si="42"/>
        <v>259.66390330030049</v>
      </c>
      <c r="KT17" s="358">
        <f t="shared" si="16"/>
        <v>9591387</v>
      </c>
      <c r="KU17" s="358">
        <f t="shared" si="43"/>
        <v>10010946.780287372</v>
      </c>
      <c r="KV17" s="358">
        <f t="shared" si="17"/>
        <v>3936204</v>
      </c>
      <c r="KW17" s="358">
        <f t="shared" si="18"/>
        <v>5495486.5386656867</v>
      </c>
      <c r="KX17" s="358">
        <f t="shared" si="44"/>
        <v>225000</v>
      </c>
      <c r="KY17" s="358">
        <f t="shared" si="45"/>
        <v>198616.36907749929</v>
      </c>
      <c r="KZ17" s="358">
        <f t="shared" si="46"/>
        <v>4161451.1371769086</v>
      </c>
      <c r="LA17" s="358">
        <f t="shared" si="46"/>
        <v>5694362.5716464864</v>
      </c>
      <c r="LB17" s="326"/>
      <c r="LC17" s="323"/>
      <c r="LD17" s="322"/>
      <c r="LE17" s="374">
        <f t="shared" si="71"/>
        <v>12</v>
      </c>
      <c r="LF17" s="375">
        <v>11</v>
      </c>
      <c r="LG17" s="376">
        <f t="shared" si="72"/>
        <v>1</v>
      </c>
      <c r="LH17" s="376">
        <f t="shared" si="72"/>
        <v>1.0427532180407753</v>
      </c>
      <c r="LI17" s="377">
        <v>106.45762205358784</v>
      </c>
      <c r="LJ17" s="290">
        <f t="shared" si="73"/>
        <v>1189230.7467543343</v>
      </c>
      <c r="LK17" s="377">
        <v>106.45762205358784</v>
      </c>
      <c r="LL17" s="290">
        <f t="shared" si="47"/>
        <v>82941.135700524916</v>
      </c>
      <c r="LM17" s="377">
        <v>106.45762205358784</v>
      </c>
      <c r="LN17" s="290">
        <f t="shared" si="48"/>
        <v>563796.17958927469</v>
      </c>
      <c r="LO17" s="377">
        <v>118.614283549666</v>
      </c>
      <c r="LP17" s="290">
        <f t="shared" si="74"/>
        <v>1126062.0941259102</v>
      </c>
      <c r="LQ17" s="377">
        <v>119.48337591187899</v>
      </c>
      <c r="LR17" s="290">
        <f t="shared" si="49"/>
        <v>62398.300167826412</v>
      </c>
      <c r="LS17" s="377">
        <v>157.07111615098</v>
      </c>
      <c r="LT17" s="290">
        <f t="shared" si="50"/>
        <v>40378.039298495831</v>
      </c>
      <c r="LU17" s="377">
        <v>112.15574935818501</v>
      </c>
      <c r="LV17" s="290">
        <f t="shared" si="51"/>
        <v>104254.75800003325</v>
      </c>
      <c r="LW17" s="377">
        <v>116.939890710382</v>
      </c>
      <c r="LX17" s="378">
        <f t="shared" si="52"/>
        <v>343203.27868938126</v>
      </c>
      <c r="LY17" s="379">
        <f t="shared" si="53"/>
        <v>3609387.5320705916</v>
      </c>
      <c r="LZ17" s="379">
        <f t="shared" si="75"/>
        <v>3512264.532325781</v>
      </c>
      <c r="MA17" s="103"/>
      <c r="MB17" s="335"/>
      <c r="MD17" s="338">
        <v>12</v>
      </c>
      <c r="ME17" s="380">
        <v>12</v>
      </c>
      <c r="MF17" s="20">
        <f t="shared" si="19"/>
        <v>4676670.7942199996</v>
      </c>
      <c r="MG17" s="20">
        <f t="shared" si="19"/>
        <v>4161451.1371769086</v>
      </c>
      <c r="MH17" s="343">
        <f t="shared" si="20"/>
        <v>5694362.5716464864</v>
      </c>
      <c r="MI17" s="20">
        <f t="shared" si="21"/>
        <v>4375020.0819702465</v>
      </c>
      <c r="MJ17" s="20">
        <f t="shared" si="21"/>
        <v>3911303.4856695626</v>
      </c>
      <c r="MK17" s="343">
        <f t="shared" si="54"/>
        <v>4109557.0597075466</v>
      </c>
      <c r="ML17" s="20">
        <f t="shared" si="55"/>
        <v>301650.71224975307</v>
      </c>
      <c r="MM17" s="20">
        <f t="shared" si="55"/>
        <v>250147.65150734596</v>
      </c>
      <c r="MN17" s="20">
        <f t="shared" si="55"/>
        <v>1584805.5119389398</v>
      </c>
      <c r="MX17" s="283">
        <f t="shared" si="85"/>
        <v>11</v>
      </c>
      <c r="MY17" s="388" t="s">
        <v>50</v>
      </c>
      <c r="MZ17" s="17">
        <f t="shared" si="115"/>
        <v>22755368.059679482</v>
      </c>
      <c r="NA17" s="381">
        <f t="shared" si="116"/>
        <v>1.0330148746851009</v>
      </c>
      <c r="NB17" s="97"/>
      <c r="NC17" s="18">
        <f t="shared" si="117"/>
        <v>22755368.059679482</v>
      </c>
      <c r="ND17" s="381">
        <f t="shared" si="118"/>
        <v>1.0330148746851009</v>
      </c>
      <c r="NH17" s="283">
        <f t="shared" si="86"/>
        <v>11</v>
      </c>
      <c r="NI17" s="388" t="str">
        <f t="shared" si="58"/>
        <v>Building</v>
      </c>
      <c r="NJ17" s="17">
        <v>22476369.306504369</v>
      </c>
      <c r="NK17" s="17">
        <f t="shared" si="119"/>
        <v>22755368.059679482</v>
      </c>
      <c r="NL17" s="17">
        <f t="shared" si="77"/>
        <v>278998.75317511335</v>
      </c>
      <c r="NM17" s="395">
        <f t="shared" si="78"/>
        <v>1.2412981357019024E-2</v>
      </c>
    </row>
    <row r="18" spans="2:377" x14ac:dyDescent="0.3">
      <c r="B18" s="265">
        <f t="shared" si="79"/>
        <v>13</v>
      </c>
      <c r="C18" s="384"/>
      <c r="D18" s="97" t="s">
        <v>53</v>
      </c>
      <c r="E18" s="286"/>
      <c r="F18" s="18">
        <f>EI9</f>
        <v>4942367.6066999994</v>
      </c>
      <c r="G18" s="313">
        <f t="shared" si="108"/>
        <v>0.23779802971474448</v>
      </c>
      <c r="H18" s="18">
        <f>EM9</f>
        <v>4946747.1885321252</v>
      </c>
      <c r="I18" s="309">
        <f t="shared" si="109"/>
        <v>0.23743688113603295</v>
      </c>
      <c r="J18" s="290">
        <f t="shared" si="59"/>
        <v>4379.581832125783</v>
      </c>
      <c r="K18" s="18">
        <f>JR26</f>
        <v>4997847.5990450596</v>
      </c>
      <c r="L18" s="309">
        <f t="shared" si="110"/>
        <v>0.236585028544606</v>
      </c>
      <c r="M18" s="290">
        <f t="shared" si="60"/>
        <v>51100.410512934439</v>
      </c>
      <c r="N18" s="18">
        <f>LV27</f>
        <v>5523337.3627051758</v>
      </c>
      <c r="O18" s="309">
        <f t="shared" si="111"/>
        <v>0.25074038084615319</v>
      </c>
      <c r="P18" s="290">
        <f t="shared" si="61"/>
        <v>525489.76366011612</v>
      </c>
      <c r="Q18" s="18">
        <f t="shared" si="62"/>
        <v>580969.75600517634</v>
      </c>
      <c r="R18" s="310">
        <f t="shared" si="63"/>
        <v>5.4425813144600044E-2</v>
      </c>
      <c r="V18" s="249">
        <f>V16+1</f>
        <v>9</v>
      </c>
      <c r="W18" s="345" t="s">
        <v>176</v>
      </c>
      <c r="X18" s="20">
        <f>SUMPRODUCT($MN$6:$MN$25,IE6:IE25)</f>
        <v>2321609.4689874174</v>
      </c>
      <c r="Y18" s="20">
        <f>SUMPRODUCT($MN$6:$MN$25,IF6:IF25)</f>
        <v>12852992.248296537</v>
      </c>
      <c r="Z18" s="20">
        <f>SUMPRODUCT($MN$6:$MN$25,IG6:IG25)</f>
        <v>27094712.144711882</v>
      </c>
      <c r="AA18" s="20">
        <f>SUM(X18:Z18)</f>
        <v>42269313.861995831</v>
      </c>
      <c r="AB18" s="20"/>
      <c r="AF18" s="385">
        <f t="shared" si="80"/>
        <v>12</v>
      </c>
      <c r="AG18" s="282" t="s">
        <v>28</v>
      </c>
      <c r="AH18" s="97"/>
      <c r="AI18" s="97"/>
      <c r="AJ18" s="97"/>
      <c r="AL18" s="464"/>
      <c r="AN18" s="483">
        <f t="shared" si="121"/>
        <v>13</v>
      </c>
      <c r="AO18" s="484"/>
      <c r="AP18" s="485"/>
      <c r="AQ18" s="485" t="s">
        <v>54</v>
      </c>
      <c r="AR18" s="486"/>
      <c r="AS18" s="487">
        <v>5928822.8260000004</v>
      </c>
      <c r="AT18" s="488">
        <v>0.57815077141840288</v>
      </c>
      <c r="AU18" s="489"/>
      <c r="AV18" s="487">
        <v>3792013.7597000003</v>
      </c>
      <c r="AW18" s="488">
        <v>0.35137968141626907</v>
      </c>
      <c r="AX18" s="490">
        <f t="shared" si="96"/>
        <v>-0.39223521132002692</v>
      </c>
      <c r="AY18" s="489"/>
      <c r="AZ18" s="487">
        <v>5238845.7033359464</v>
      </c>
      <c r="BA18" s="488">
        <v>0.40606900530629209</v>
      </c>
      <c r="BB18" s="490">
        <f t="shared" si="97"/>
        <v>0.15564167987628807</v>
      </c>
      <c r="BC18" s="489"/>
      <c r="BD18" s="487">
        <v>5407089.8699504221</v>
      </c>
      <c r="BE18" s="488">
        <v>0.36767645852816944</v>
      </c>
      <c r="BF18" s="490">
        <f t="shared" si="98"/>
        <v>-9.4546853555502741E-2</v>
      </c>
      <c r="BG18" s="489"/>
      <c r="BH18" s="487">
        <v>7543565.8774000006</v>
      </c>
      <c r="BI18" s="488">
        <v>0.49640433719995791</v>
      </c>
      <c r="BJ18" s="490">
        <f t="shared" si="99"/>
        <v>0.3501118325255137</v>
      </c>
      <c r="BK18" s="489"/>
      <c r="BL18" s="487">
        <v>8178976.4044999983</v>
      </c>
      <c r="BM18" s="488">
        <v>0.48622711326046231</v>
      </c>
      <c r="BN18" s="490">
        <f t="shared" si="100"/>
        <v>-2.050188359936933E-2</v>
      </c>
      <c r="BO18" s="489"/>
      <c r="BP18" s="487">
        <v>9693134.9169999994</v>
      </c>
      <c r="BQ18" s="488">
        <v>0.52259989598697731</v>
      </c>
      <c r="BR18" s="490">
        <f t="shared" si="101"/>
        <v>7.4806158962654967E-2</v>
      </c>
      <c r="BS18" s="489"/>
      <c r="BT18" s="485">
        <v>9228973</v>
      </c>
      <c r="BU18" s="485">
        <v>0.47</v>
      </c>
      <c r="BV18" s="485">
        <f t="shared" si="102"/>
        <v>-0.10065041419045384</v>
      </c>
      <c r="BW18" s="26">
        <v>10423908.153099999</v>
      </c>
      <c r="BX18" s="27">
        <v>0.53850471411588496</v>
      </c>
      <c r="BY18" s="27">
        <f t="shared" si="65"/>
        <v>0.14575471088486158</v>
      </c>
      <c r="BZ18" s="27">
        <v>10530651.726950001</v>
      </c>
      <c r="CA18" s="27">
        <v>0.51623445214666785</v>
      </c>
      <c r="CB18" s="27">
        <f t="shared" si="66"/>
        <v>-4.1355741900570675E-2</v>
      </c>
      <c r="CC18" s="26">
        <f t="shared" ref="CC18:CD20" si="122">F20</f>
        <v>10262021.9365</v>
      </c>
      <c r="CD18" s="27">
        <f t="shared" si="122"/>
        <v>0.49374890570281921</v>
      </c>
      <c r="CE18" s="395">
        <f t="shared" si="104"/>
        <v>-4.3556849703359712E-2</v>
      </c>
      <c r="CF18" s="491">
        <f t="shared" si="68"/>
        <v>0.73087006268721288</v>
      </c>
      <c r="CG18" s="395">
        <f t="shared" si="105"/>
        <v>3.0948366399667249E-2</v>
      </c>
      <c r="CX18" s="438"/>
      <c r="CY18" s="455"/>
      <c r="CZ18" s="105"/>
      <c r="DA18" s="518"/>
      <c r="DB18" s="105"/>
      <c r="DK18" s="518"/>
      <c r="DQ18" s="537"/>
      <c r="DR18" s="537"/>
      <c r="DS18" s="537"/>
      <c r="DT18" s="537"/>
      <c r="DU18" s="537"/>
      <c r="DV18" s="537"/>
      <c r="DW18" s="537"/>
      <c r="DX18" s="537"/>
      <c r="DY18" s="537"/>
      <c r="DZ18" s="537"/>
      <c r="EI18" s="347"/>
      <c r="EO18" s="408"/>
      <c r="FE18" s="408"/>
      <c r="FG18" s="283">
        <f t="shared" si="84"/>
        <v>13</v>
      </c>
      <c r="FH18" s="406"/>
      <c r="FI18" s="407" t="s">
        <v>236</v>
      </c>
      <c r="FJ18" s="17">
        <v>43908.417999999998</v>
      </c>
      <c r="FK18" s="17">
        <v>51418.920000000006</v>
      </c>
      <c r="FL18" s="17">
        <v>50658.33</v>
      </c>
      <c r="FM18" s="290">
        <f t="shared" si="28"/>
        <v>145985.66800000001</v>
      </c>
      <c r="FN18" s="17">
        <v>44220.630121212111</v>
      </c>
      <c r="FO18" s="17">
        <v>51511.12</v>
      </c>
      <c r="FP18" s="17">
        <v>50658.330000000009</v>
      </c>
      <c r="FQ18" s="17">
        <v>146390.08012121212</v>
      </c>
      <c r="FR18" s="17">
        <v>146390.08012121212</v>
      </c>
      <c r="FS18" s="103"/>
      <c r="FT18" s="408"/>
      <c r="GB18" s="344"/>
      <c r="GC18" s="344"/>
      <c r="GD18" s="344"/>
      <c r="GE18" s="344"/>
      <c r="GK18" s="355"/>
      <c r="GL18" s="355"/>
      <c r="GM18" s="355"/>
      <c r="GN18" s="355"/>
      <c r="GO18" s="355"/>
      <c r="GP18" s="355"/>
      <c r="GQ18" s="355"/>
      <c r="GR18" s="355"/>
      <c r="HW18" s="283">
        <v>13</v>
      </c>
      <c r="HX18" s="306">
        <v>13</v>
      </c>
      <c r="HY18" s="306">
        <v>10</v>
      </c>
      <c r="HZ18" s="306">
        <v>11</v>
      </c>
      <c r="IA18" s="307">
        <v>102121804</v>
      </c>
      <c r="IB18" s="307">
        <v>110978821</v>
      </c>
      <c r="IC18" s="309">
        <f t="shared" si="5"/>
        <v>1.1000000000000001</v>
      </c>
      <c r="ID18" s="309">
        <f t="shared" si="6"/>
        <v>1.0867299308578606</v>
      </c>
      <c r="IE18" s="310">
        <v>0</v>
      </c>
      <c r="IF18" s="310">
        <v>1</v>
      </c>
      <c r="IG18" s="310">
        <v>0</v>
      </c>
      <c r="IK18" s="410">
        <v>13</v>
      </c>
      <c r="IL18" s="317">
        <v>13</v>
      </c>
      <c r="IM18" s="313">
        <f t="shared" si="7"/>
        <v>1.0867299308578606</v>
      </c>
      <c r="IN18" s="17">
        <v>38</v>
      </c>
      <c r="IO18" s="290">
        <f t="shared" si="29"/>
        <v>41.295737372598701</v>
      </c>
      <c r="IP18" s="17">
        <v>11270819</v>
      </c>
      <c r="IQ18" s="290">
        <v>12226499</v>
      </c>
      <c r="IR18" s="17">
        <v>4764103.0435000006</v>
      </c>
      <c r="IS18" s="290">
        <v>5108269</v>
      </c>
      <c r="IT18" s="17">
        <v>225000</v>
      </c>
      <c r="IU18" s="17">
        <v>247500</v>
      </c>
      <c r="IV18" s="17">
        <f t="shared" si="30"/>
        <v>4989141.0435000006</v>
      </c>
      <c r="IW18" s="17">
        <f t="shared" si="30"/>
        <v>5355810.2957373727</v>
      </c>
      <c r="IX18" s="314"/>
      <c r="IY18" s="315"/>
      <c r="IZ18" s="314"/>
      <c r="JA18" s="316">
        <v>13</v>
      </c>
      <c r="JB18" s="317">
        <v>13</v>
      </c>
      <c r="JC18" s="318">
        <f t="shared" si="8"/>
        <v>1.1000000000000001</v>
      </c>
      <c r="JD18" s="319">
        <f t="shared" si="8"/>
        <v>1.0867299308578606</v>
      </c>
      <c r="JE18" s="17">
        <v>2071386.4181252802</v>
      </c>
      <c r="JF18" s="290">
        <f t="shared" si="70"/>
        <v>2251037.6189491972</v>
      </c>
      <c r="JG18" s="17">
        <v>70310.223499999993</v>
      </c>
      <c r="JH18" s="290">
        <f t="shared" si="31"/>
        <v>76408.224322755719</v>
      </c>
      <c r="JI18" s="17">
        <v>1129294.8683747198</v>
      </c>
      <c r="JJ18" s="290">
        <f t="shared" si="32"/>
        <v>1242224.3552121918</v>
      </c>
      <c r="JK18" s="17">
        <v>1201729.8593524098</v>
      </c>
      <c r="JL18" s="290">
        <v>1325181.9705619391</v>
      </c>
      <c r="JM18" s="17">
        <v>49177.789399999994</v>
      </c>
      <c r="JN18" s="290">
        <f t="shared" si="33"/>
        <v>53442.975674404428</v>
      </c>
      <c r="JO18" s="17">
        <v>78958.960399999982</v>
      </c>
      <c r="JP18" s="290">
        <f t="shared" si="34"/>
        <v>85807.065576100533</v>
      </c>
      <c r="JQ18" s="17">
        <v>137795.64800000002</v>
      </c>
      <c r="JR18" s="290">
        <f t="shared" si="35"/>
        <v>149746.65502355411</v>
      </c>
      <c r="JS18" s="17">
        <v>297705.73260000005</v>
      </c>
      <c r="JT18" s="290">
        <f t="shared" si="36"/>
        <v>323525.73020438681</v>
      </c>
      <c r="JU18" s="17">
        <f t="shared" si="37"/>
        <v>5036359.4997524098</v>
      </c>
      <c r="JV18" s="17">
        <f t="shared" si="37"/>
        <v>5507374.5955245309</v>
      </c>
      <c r="JW18" s="320">
        <f t="shared" si="9"/>
        <v>4.9625455973482824</v>
      </c>
      <c r="KA18" s="283">
        <v>13</v>
      </c>
      <c r="KB18" s="306">
        <v>13</v>
      </c>
      <c r="KC18" s="97">
        <f t="shared" si="10"/>
        <v>11</v>
      </c>
      <c r="KD18" s="390">
        <f t="shared" si="11"/>
        <v>11</v>
      </c>
      <c r="KE18" s="289">
        <f t="shared" si="12"/>
        <v>110978821</v>
      </c>
      <c r="KF18" s="289">
        <f t="shared" si="13"/>
        <v>115723522.73212117</v>
      </c>
      <c r="KG18" s="321">
        <f t="shared" si="38"/>
        <v>1</v>
      </c>
      <c r="KH18" s="321">
        <f t="shared" si="39"/>
        <v>1.0427532180407753</v>
      </c>
      <c r="KI18" s="321">
        <f t="shared" si="40"/>
        <v>0.95837369323887123</v>
      </c>
      <c r="KJ18" s="306" t="s">
        <v>256</v>
      </c>
      <c r="KK18" s="322"/>
      <c r="KL18" s="323"/>
      <c r="KM18" s="322"/>
      <c r="KN18" s="283">
        <v>13</v>
      </c>
      <c r="KO18" s="306">
        <v>13</v>
      </c>
      <c r="KP18" s="324" t="str">
        <f t="shared" si="14"/>
        <v>Q3</v>
      </c>
      <c r="KQ18" s="325">
        <f t="shared" si="15"/>
        <v>0.95837369323887123</v>
      </c>
      <c r="KR18" s="17">
        <f t="shared" si="41"/>
        <v>41.295737372598701</v>
      </c>
      <c r="KS18" s="17">
        <f t="shared" si="42"/>
        <v>39.576748340799895</v>
      </c>
      <c r="KT18" s="17">
        <f t="shared" si="16"/>
        <v>12226499</v>
      </c>
      <c r="KU18" s="17">
        <f t="shared" si="43"/>
        <v>12601249.463966772</v>
      </c>
      <c r="KV18" s="17">
        <f t="shared" si="17"/>
        <v>5108269</v>
      </c>
      <c r="KW18" s="17">
        <f t="shared" si="18"/>
        <v>6917427.3242525142</v>
      </c>
      <c r="KX18" s="17">
        <f t="shared" si="44"/>
        <v>247500</v>
      </c>
      <c r="KY18" s="17">
        <f t="shared" si="45"/>
        <v>250007.76343164407</v>
      </c>
      <c r="KZ18" s="17">
        <f t="shared" si="46"/>
        <v>5355810.2957373727</v>
      </c>
      <c r="LA18" s="17">
        <f t="shared" si="46"/>
        <v>7167474.6644324986</v>
      </c>
      <c r="LB18" s="326"/>
      <c r="LC18" s="323"/>
      <c r="LD18" s="322"/>
      <c r="LE18" s="364">
        <f t="shared" si="71"/>
        <v>13</v>
      </c>
      <c r="LF18" s="365">
        <v>12</v>
      </c>
      <c r="LG18" s="411">
        <f t="shared" si="72"/>
        <v>1</v>
      </c>
      <c r="LH18" s="411">
        <f t="shared" si="72"/>
        <v>1.0427532180407753</v>
      </c>
      <c r="LI18" s="412">
        <v>92.086954396969617</v>
      </c>
      <c r="LJ18" s="343">
        <f t="shared" si="73"/>
        <v>1411867.7005573001</v>
      </c>
      <c r="LK18" s="412">
        <v>92.086954396969617</v>
      </c>
      <c r="LL18" s="343">
        <f t="shared" si="47"/>
        <v>165871.93407944997</v>
      </c>
      <c r="LM18" s="412">
        <v>92.086954396969617</v>
      </c>
      <c r="LN18" s="343">
        <f t="shared" si="48"/>
        <v>836871.1040764068</v>
      </c>
      <c r="LO18" s="412">
        <v>119.50379714140099</v>
      </c>
      <c r="LP18" s="343">
        <f t="shared" si="74"/>
        <v>826803.49761689059</v>
      </c>
      <c r="LQ18" s="412">
        <v>120.433043671646</v>
      </c>
      <c r="LR18" s="343">
        <f t="shared" si="49"/>
        <v>122421.68247985627</v>
      </c>
      <c r="LS18" s="412">
        <v>146.40099357416699</v>
      </c>
      <c r="LT18" s="343">
        <f t="shared" si="50"/>
        <v>77036.272515158867</v>
      </c>
      <c r="LU18" s="412">
        <v>116.183248398364</v>
      </c>
      <c r="LV18" s="343">
        <f t="shared" si="51"/>
        <v>157321.17366407963</v>
      </c>
      <c r="LW18" s="412">
        <v>117.5956284153</v>
      </c>
      <c r="LX18" s="343">
        <f t="shared" si="52"/>
        <v>511363.69471840485</v>
      </c>
      <c r="LY18" s="20">
        <f t="shared" si="53"/>
        <v>3911303.4856695626</v>
      </c>
      <c r="LZ18" s="20">
        <f t="shared" si="75"/>
        <v>4109557.0597075466</v>
      </c>
      <c r="MA18" s="103"/>
      <c r="MB18" s="335"/>
      <c r="MD18" s="283">
        <v>13</v>
      </c>
      <c r="ME18" s="336">
        <v>13</v>
      </c>
      <c r="MF18" s="17">
        <f t="shared" si="19"/>
        <v>4989141.0435000006</v>
      </c>
      <c r="MG18" s="17">
        <f t="shared" si="19"/>
        <v>5355810.2957373727</v>
      </c>
      <c r="MH18" s="290">
        <f t="shared" si="20"/>
        <v>7167474.6644324986</v>
      </c>
      <c r="MI18" s="17">
        <f t="shared" si="21"/>
        <v>5036359.4997524098</v>
      </c>
      <c r="MJ18" s="17">
        <f t="shared" si="21"/>
        <v>5507374.5955245309</v>
      </c>
      <c r="MK18" s="290">
        <f t="shared" si="54"/>
        <v>5278122.9311627792</v>
      </c>
      <c r="ML18" s="17">
        <f t="shared" si="55"/>
        <v>-47218.456252409145</v>
      </c>
      <c r="MM18" s="17">
        <f t="shared" si="55"/>
        <v>-151564.29978715815</v>
      </c>
      <c r="MN18" s="17">
        <f t="shared" si="55"/>
        <v>1889351.7332697194</v>
      </c>
      <c r="MX18" s="338">
        <f t="shared" si="85"/>
        <v>12</v>
      </c>
      <c r="MY18" s="346" t="s">
        <v>53</v>
      </c>
      <c r="MZ18" s="20">
        <f t="shared" si="115"/>
        <v>5523337.3627051758</v>
      </c>
      <c r="NA18" s="414">
        <f t="shared" si="116"/>
        <v>0.25074038084615319</v>
      </c>
      <c r="NC18" s="15">
        <f t="shared" si="117"/>
        <v>5523337.3627051758</v>
      </c>
      <c r="ND18" s="414">
        <f t="shared" si="118"/>
        <v>0.25074038084615319</v>
      </c>
      <c r="NH18" s="338">
        <f t="shared" si="86"/>
        <v>12</v>
      </c>
      <c r="NI18" s="346" t="str">
        <f t="shared" si="58"/>
        <v>Equipment</v>
      </c>
      <c r="NJ18" s="20">
        <v>5407933.3588502686</v>
      </c>
      <c r="NK18" s="20">
        <f t="shared" si="119"/>
        <v>5523337.3627051758</v>
      </c>
      <c r="NL18" s="20">
        <f t="shared" si="77"/>
        <v>115404.00385490712</v>
      </c>
      <c r="NM18" s="351">
        <f t="shared" si="78"/>
        <v>2.1339760717658345E-2</v>
      </c>
    </row>
    <row r="19" spans="2:377" x14ac:dyDescent="0.3">
      <c r="B19" s="226">
        <f t="shared" si="79"/>
        <v>14</v>
      </c>
      <c r="C19" s="339"/>
      <c r="D19" s="518" t="s">
        <v>51</v>
      </c>
      <c r="E19" s="340"/>
      <c r="F19" s="15">
        <f>EV9</f>
        <v>3516733.7788</v>
      </c>
      <c r="G19" s="341">
        <f t="shared" si="108"/>
        <v>0.16920480833846835</v>
      </c>
      <c r="H19" s="15">
        <f>FC9</f>
        <v>3375997.0894500008</v>
      </c>
      <c r="I19" s="342">
        <f t="shared" si="109"/>
        <v>0.1620430939955094</v>
      </c>
      <c r="J19" s="343">
        <f t="shared" si="59"/>
        <v>-140736.68934999919</v>
      </c>
      <c r="K19" s="15">
        <f>JN26+JP26</f>
        <v>3467071.2212437498</v>
      </c>
      <c r="L19" s="342">
        <f t="shared" si="110"/>
        <v>0.1641220800732022</v>
      </c>
      <c r="M19" s="343">
        <f t="shared" si="60"/>
        <v>91074.131793749053</v>
      </c>
      <c r="N19" s="15">
        <f>LR27+LT27</f>
        <v>3594594.1499546762</v>
      </c>
      <c r="O19" s="342">
        <f t="shared" si="111"/>
        <v>0.16318212105471561</v>
      </c>
      <c r="P19" s="343">
        <f t="shared" si="61"/>
        <v>127522.92871092632</v>
      </c>
      <c r="Q19" s="15">
        <f t="shared" si="62"/>
        <v>77860.371154676192</v>
      </c>
      <c r="R19" s="344">
        <f t="shared" si="63"/>
        <v>-3.5594066994274032E-2</v>
      </c>
      <c r="V19" s="385">
        <f t="shared" si="64"/>
        <v>10</v>
      </c>
      <c r="W19" s="386" t="s">
        <v>185</v>
      </c>
      <c r="X19" s="309">
        <f>X18/N$24*100</f>
        <v>0.10539302675236803</v>
      </c>
      <c r="Y19" s="309">
        <f>Y18/N$24*100</f>
        <v>0.58348131930368063</v>
      </c>
      <c r="Z19" s="309">
        <f>Z18/N$24*100</f>
        <v>1.2300060626306857</v>
      </c>
      <c r="AA19" s="309">
        <f>AA18/N$24*100</f>
        <v>1.9188804086867339</v>
      </c>
      <c r="AB19" s="342"/>
      <c r="AC19" s="348"/>
      <c r="AF19" s="249">
        <f t="shared" si="80"/>
        <v>13</v>
      </c>
      <c r="AG19" s="346" t="s">
        <v>78</v>
      </c>
      <c r="AH19" s="105">
        <f>AH15*LH27</f>
        <v>1878173.4093248697</v>
      </c>
      <c r="AI19" s="105">
        <f>AI15*LH27</f>
        <v>117933.94135647609</v>
      </c>
      <c r="AJ19" s="105">
        <f>AJ15*LG27</f>
        <v>547397.97344627196</v>
      </c>
      <c r="AL19" s="464"/>
      <c r="AN19" s="338">
        <f t="shared" si="121"/>
        <v>14</v>
      </c>
      <c r="AO19" s="492"/>
      <c r="AP19" s="493" t="s">
        <v>60</v>
      </c>
      <c r="AQ19" s="475"/>
      <c r="AR19" s="340"/>
      <c r="AS19" s="348">
        <v>32802383.3928</v>
      </c>
      <c r="AT19" s="349">
        <v>3.1987333437832652</v>
      </c>
      <c r="AU19" s="350"/>
      <c r="AV19" s="348">
        <v>36250313.730549999</v>
      </c>
      <c r="AW19" s="349">
        <v>3.359065788539803</v>
      </c>
      <c r="AX19" s="351">
        <f t="shared" si="96"/>
        <v>5.012372946564736E-2</v>
      </c>
      <c r="AY19" s="350"/>
      <c r="AZ19" s="348">
        <v>43223045.707989462</v>
      </c>
      <c r="BA19" s="349">
        <v>3.3502683932407789</v>
      </c>
      <c r="BB19" s="351">
        <f t="shared" si="97"/>
        <v>-2.6190005950578188E-3</v>
      </c>
      <c r="BC19" s="350"/>
      <c r="BD19" s="348">
        <v>49380961.369565383</v>
      </c>
      <c r="BE19" s="349">
        <v>3.3578537497555252</v>
      </c>
      <c r="BF19" s="351">
        <f t="shared" si="98"/>
        <v>2.2641041326867395E-3</v>
      </c>
      <c r="BG19" s="350"/>
      <c r="BH19" s="348">
        <v>57308507.547660008</v>
      </c>
      <c r="BI19" s="349">
        <v>3.7711862224659241</v>
      </c>
      <c r="BJ19" s="351">
        <f t="shared" si="99"/>
        <v>0.12309424516791179</v>
      </c>
      <c r="BK19" s="350"/>
      <c r="BL19" s="348">
        <v>61753474.575707734</v>
      </c>
      <c r="BM19" s="349">
        <v>3.6711456534132534</v>
      </c>
      <c r="BN19" s="351">
        <f t="shared" si="100"/>
        <v>-2.6527613103989212E-2</v>
      </c>
      <c r="BO19" s="350"/>
      <c r="BP19" s="348">
        <v>74174917.572400004</v>
      </c>
      <c r="BQ19" s="349">
        <v>3.9990987993156044</v>
      </c>
      <c r="BR19" s="351">
        <f t="shared" si="101"/>
        <v>8.9332643502563425E-2</v>
      </c>
      <c r="BS19" s="350"/>
      <c r="BT19" s="518">
        <v>83233170</v>
      </c>
      <c r="BU19" s="518">
        <v>4.24</v>
      </c>
      <c r="BV19" s="518">
        <f t="shared" si="102"/>
        <v>6.0238871999267252E-2</v>
      </c>
      <c r="BW19" s="15">
        <v>91278660.188299984</v>
      </c>
      <c r="BX19" s="16">
        <v>4.7155047883804926</v>
      </c>
      <c r="BY19" s="16">
        <f t="shared" si="65"/>
        <v>0.11214735575011603</v>
      </c>
      <c r="BZ19" s="16">
        <v>96836161.677461118</v>
      </c>
      <c r="CA19" s="16">
        <v>4.7471100714133083</v>
      </c>
      <c r="CB19" s="16">
        <f t="shared" si="66"/>
        <v>6.7024177582630795E-3</v>
      </c>
      <c r="CC19" s="15">
        <f t="shared" si="122"/>
        <v>99050498.270499989</v>
      </c>
      <c r="CD19" s="16">
        <f t="shared" si="122"/>
        <v>4.7657348067469085</v>
      </c>
      <c r="CE19" s="494">
        <f t="shared" si="104"/>
        <v>3.923383922727286E-3</v>
      </c>
      <c r="CF19" s="353">
        <f t="shared" si="68"/>
        <v>2.0196128459446396</v>
      </c>
      <c r="CG19" s="494">
        <f t="shared" si="105"/>
        <v>6.3319942515177807E-2</v>
      </c>
      <c r="CX19" s="438"/>
      <c r="CY19" s="455"/>
      <c r="CZ19" s="105"/>
      <c r="DA19" s="518"/>
      <c r="DB19" s="105"/>
      <c r="DK19" s="518"/>
      <c r="EO19" s="408"/>
      <c r="FE19" s="408"/>
      <c r="FG19" s="338">
        <f t="shared" si="84"/>
        <v>14</v>
      </c>
      <c r="FH19" s="360"/>
      <c r="FI19" s="361" t="s">
        <v>237</v>
      </c>
      <c r="FJ19" s="20">
        <v>61149.932899999993</v>
      </c>
      <c r="FK19" s="20">
        <v>92721.46</v>
      </c>
      <c r="FL19" s="20">
        <v>139427.68999999997</v>
      </c>
      <c r="FM19" s="343">
        <f t="shared" si="28"/>
        <v>293299.08289999998</v>
      </c>
      <c r="FN19" s="20">
        <v>64235.94502121213</v>
      </c>
      <c r="FO19" s="20">
        <v>92721.46</v>
      </c>
      <c r="FP19" s="20">
        <v>139427.69</v>
      </c>
      <c r="FQ19" s="20">
        <v>296385.09502121212</v>
      </c>
      <c r="FR19" s="20">
        <v>296385.09502121212</v>
      </c>
      <c r="FS19" s="103"/>
      <c r="FT19" s="408"/>
      <c r="HW19" s="338">
        <v>14</v>
      </c>
      <c r="HX19" s="322">
        <v>14</v>
      </c>
      <c r="HY19" s="322">
        <v>10</v>
      </c>
      <c r="HZ19" s="322">
        <v>11</v>
      </c>
      <c r="IA19" s="347">
        <v>127639512</v>
      </c>
      <c r="IB19" s="347">
        <v>140878049</v>
      </c>
      <c r="IC19" s="342">
        <f t="shared" si="5"/>
        <v>1.1000000000000001</v>
      </c>
      <c r="ID19" s="342">
        <f t="shared" si="6"/>
        <v>1.1037181730998784</v>
      </c>
      <c r="IE19" s="344">
        <v>0</v>
      </c>
      <c r="IF19" s="344">
        <v>0.81818181818181823</v>
      </c>
      <c r="IG19" s="344">
        <v>0.18181818181818182</v>
      </c>
      <c r="IK19" s="364">
        <v>14</v>
      </c>
      <c r="IL19" s="365">
        <v>14</v>
      </c>
      <c r="IM19" s="341">
        <f t="shared" si="7"/>
        <v>1.1037181730998784</v>
      </c>
      <c r="IN19" s="20">
        <v>5921.73</v>
      </c>
      <c r="IO19" s="343">
        <f t="shared" si="29"/>
        <v>6535.9210171907425</v>
      </c>
      <c r="IP19" s="20">
        <v>14076353</v>
      </c>
      <c r="IQ19" s="343">
        <v>15546310</v>
      </c>
      <c r="IR19" s="20">
        <v>6009582.7253</v>
      </c>
      <c r="IS19" s="343">
        <v>6612666</v>
      </c>
      <c r="IT19" s="20">
        <v>225000</v>
      </c>
      <c r="IU19" s="20">
        <v>247500</v>
      </c>
      <c r="IV19" s="20">
        <f t="shared" si="30"/>
        <v>6240504.4553000005</v>
      </c>
      <c r="IW19" s="20">
        <f t="shared" si="30"/>
        <v>6866701.9210171904</v>
      </c>
      <c r="IX19" s="314"/>
      <c r="IY19" s="315"/>
      <c r="IZ19" s="314"/>
      <c r="JA19" s="366">
        <v>14</v>
      </c>
      <c r="JB19" s="365">
        <v>14</v>
      </c>
      <c r="JC19" s="367">
        <f t="shared" si="8"/>
        <v>1.1000000000000001</v>
      </c>
      <c r="JD19" s="368">
        <f t="shared" si="8"/>
        <v>1.1037181730998784</v>
      </c>
      <c r="JE19" s="20">
        <v>2955752.728087069</v>
      </c>
      <c r="JF19" s="343">
        <f t="shared" si="70"/>
        <v>3262318.0011792416</v>
      </c>
      <c r="JG19" s="20">
        <v>72608.53</v>
      </c>
      <c r="JH19" s="343">
        <f t="shared" si="31"/>
        <v>80139.354083067708</v>
      </c>
      <c r="JI19" s="20">
        <v>1045787.5419129311</v>
      </c>
      <c r="JJ19" s="343">
        <f t="shared" si="32"/>
        <v>1150366.2961042244</v>
      </c>
      <c r="JK19" s="20">
        <v>1388384.8153083951</v>
      </c>
      <c r="JL19" s="343">
        <v>1553584.2256099153</v>
      </c>
      <c r="JM19" s="20">
        <v>143039.10675000004</v>
      </c>
      <c r="JN19" s="343">
        <f t="shared" si="33"/>
        <v>157874.86158394851</v>
      </c>
      <c r="JO19" s="20">
        <v>71991.232250000015</v>
      </c>
      <c r="JP19" s="343">
        <f t="shared" si="34"/>
        <v>79458.031338179062</v>
      </c>
      <c r="JQ19" s="20">
        <v>380591.60000000003</v>
      </c>
      <c r="JR19" s="343">
        <f t="shared" si="35"/>
        <v>420065.8654491597</v>
      </c>
      <c r="JS19" s="20">
        <v>583286.09279999998</v>
      </c>
      <c r="JT19" s="343">
        <f t="shared" si="36"/>
        <v>643783.46073978208</v>
      </c>
      <c r="JU19" s="20">
        <f t="shared" si="37"/>
        <v>6641441.6471083947</v>
      </c>
      <c r="JV19" s="20">
        <f t="shared" si="37"/>
        <v>7347590.0960875181</v>
      </c>
      <c r="JW19" s="369">
        <f t="shared" si="9"/>
        <v>5.2155677539852352</v>
      </c>
      <c r="KA19" s="338">
        <v>14</v>
      </c>
      <c r="KB19" s="322">
        <v>14</v>
      </c>
      <c r="KC19" s="518">
        <f t="shared" si="10"/>
        <v>11</v>
      </c>
      <c r="KD19" s="96">
        <f>KC19</f>
        <v>11</v>
      </c>
      <c r="KE19" s="370">
        <f t="shared" si="12"/>
        <v>140878049</v>
      </c>
      <c r="KF19" s="370">
        <f t="shared" si="13"/>
        <v>146901038.94605601</v>
      </c>
      <c r="KG19" s="371">
        <f t="shared" si="38"/>
        <v>1</v>
      </c>
      <c r="KH19" s="371">
        <f t="shared" si="39"/>
        <v>1.0427532180407753</v>
      </c>
      <c r="KI19" s="371">
        <f t="shared" si="40"/>
        <v>0.96930735893717934</v>
      </c>
      <c r="KJ19" s="322" t="s">
        <v>256</v>
      </c>
      <c r="KK19" s="322"/>
      <c r="KL19" s="323"/>
      <c r="KM19" s="322"/>
      <c r="KN19" s="338">
        <v>14</v>
      </c>
      <c r="KO19" s="322">
        <v>14</v>
      </c>
      <c r="KP19" s="437" t="str">
        <f t="shared" si="14"/>
        <v>Q3</v>
      </c>
      <c r="KQ19" s="373">
        <f t="shared" si="15"/>
        <v>0.96930735893717934</v>
      </c>
      <c r="KR19" s="358">
        <f t="shared" si="41"/>
        <v>6535.9210171907425</v>
      </c>
      <c r="KS19" s="358">
        <f t="shared" si="42"/>
        <v>6335.3163393951618</v>
      </c>
      <c r="KT19" s="358">
        <f t="shared" si="16"/>
        <v>15546310</v>
      </c>
      <c r="KU19" s="358">
        <f t="shared" si="43"/>
        <v>15996200.206937993</v>
      </c>
      <c r="KV19" s="358">
        <f t="shared" si="17"/>
        <v>6612666</v>
      </c>
      <c r="KW19" s="358">
        <f t="shared" si="18"/>
        <v>8781077.8377253115</v>
      </c>
      <c r="KX19" s="358">
        <f t="shared" si="44"/>
        <v>247500</v>
      </c>
      <c r="KY19" s="358">
        <f t="shared" si="45"/>
        <v>317363.30977154244</v>
      </c>
      <c r="KZ19" s="358">
        <f t="shared" si="46"/>
        <v>6866701.9210171904</v>
      </c>
      <c r="LA19" s="358">
        <f t="shared" si="46"/>
        <v>9104776.463836249</v>
      </c>
      <c r="LB19" s="326"/>
      <c r="LC19" s="323"/>
      <c r="LD19" s="322"/>
      <c r="LE19" s="374">
        <f t="shared" si="71"/>
        <v>14</v>
      </c>
      <c r="LF19" s="375">
        <v>13</v>
      </c>
      <c r="LG19" s="376">
        <f t="shared" si="72"/>
        <v>1</v>
      </c>
      <c r="LH19" s="376">
        <f t="shared" si="72"/>
        <v>1.0427532180407753</v>
      </c>
      <c r="LI19" s="377">
        <v>106.45762205358784</v>
      </c>
      <c r="LJ19" s="290">
        <f t="shared" si="73"/>
        <v>2070326.0180776976</v>
      </c>
      <c r="LK19" s="377">
        <v>106.45762205358784</v>
      </c>
      <c r="LL19" s="290">
        <f t="shared" si="47"/>
        <v>70274.229750261875</v>
      </c>
      <c r="LM19" s="377">
        <v>106.45762205358784</v>
      </c>
      <c r="LN19" s="290">
        <f t="shared" si="48"/>
        <v>1095656.673019445</v>
      </c>
      <c r="LO19" s="377">
        <v>118.614283549666</v>
      </c>
      <c r="LP19" s="290">
        <f t="shared" si="74"/>
        <v>1386171.1284569153</v>
      </c>
      <c r="LQ19" s="377">
        <v>119.48337591187899</v>
      </c>
      <c r="LR19" s="290">
        <f t="shared" si="49"/>
        <v>58262.821198899088</v>
      </c>
      <c r="LS19" s="377">
        <v>157.07111615098</v>
      </c>
      <c r="LT19" s="290">
        <f t="shared" si="50"/>
        <v>81354.281471459675</v>
      </c>
      <c r="LU19" s="377">
        <v>112.15574935818501</v>
      </c>
      <c r="LV19" s="290">
        <f t="shared" si="51"/>
        <v>164156.78525486909</v>
      </c>
      <c r="LW19" s="377">
        <v>116.939890710382</v>
      </c>
      <c r="LX19" s="378">
        <f t="shared" si="52"/>
        <v>351920.99393323151</v>
      </c>
      <c r="LY19" s="379">
        <f t="shared" si="53"/>
        <v>5507374.5955245309</v>
      </c>
      <c r="LZ19" s="379">
        <f t="shared" si="75"/>
        <v>5278122.9311627792</v>
      </c>
      <c r="MA19" s="103"/>
      <c r="MB19" s="335"/>
      <c r="MD19" s="338">
        <v>14</v>
      </c>
      <c r="ME19" s="380">
        <v>14</v>
      </c>
      <c r="MF19" s="20">
        <f t="shared" si="19"/>
        <v>6240504.4553000005</v>
      </c>
      <c r="MG19" s="20">
        <f t="shared" si="19"/>
        <v>6866701.9210171904</v>
      </c>
      <c r="MH19" s="343">
        <f t="shared" si="20"/>
        <v>9104776.463836249</v>
      </c>
      <c r="MI19" s="20">
        <f t="shared" si="21"/>
        <v>6641441.6471083947</v>
      </c>
      <c r="MJ19" s="20">
        <f t="shared" si="21"/>
        <v>7347590.0960875181</v>
      </c>
      <c r="MK19" s="343">
        <f t="shared" si="54"/>
        <v>7122073.1505915681</v>
      </c>
      <c r="ML19" s="20">
        <f t="shared" si="55"/>
        <v>-400937.19180839416</v>
      </c>
      <c r="MM19" s="20">
        <f t="shared" si="55"/>
        <v>-480888.17507032771</v>
      </c>
      <c r="MN19" s="20">
        <f t="shared" si="55"/>
        <v>1982703.3132446809</v>
      </c>
      <c r="MX19" s="283">
        <f t="shared" si="85"/>
        <v>13</v>
      </c>
      <c r="MY19" s="388" t="s">
        <v>51</v>
      </c>
      <c r="MZ19" s="17">
        <f t="shared" si="115"/>
        <v>3594594.1499546762</v>
      </c>
      <c r="NA19" s="381">
        <f t="shared" si="116"/>
        <v>0.16318212105471561</v>
      </c>
      <c r="NB19" s="97"/>
      <c r="NC19" s="18">
        <f t="shared" si="117"/>
        <v>3594594.1499546762</v>
      </c>
      <c r="ND19" s="381">
        <f t="shared" si="118"/>
        <v>0.16318212105471561</v>
      </c>
      <c r="NH19" s="283">
        <f t="shared" si="86"/>
        <v>13</v>
      </c>
      <c r="NI19" s="388" t="str">
        <f t="shared" si="58"/>
        <v>Vehicle</v>
      </c>
      <c r="NJ19" s="17">
        <v>3646879.9333716799</v>
      </c>
      <c r="NK19" s="17">
        <f t="shared" si="119"/>
        <v>3594594.1499546762</v>
      </c>
      <c r="NL19" s="17">
        <f t="shared" si="77"/>
        <v>-52285.783417003695</v>
      </c>
      <c r="NM19" s="395">
        <f t="shared" si="78"/>
        <v>-1.4337127728979958E-2</v>
      </c>
    </row>
    <row r="20" spans="2:377" x14ac:dyDescent="0.3">
      <c r="B20" s="265">
        <f t="shared" si="79"/>
        <v>15</v>
      </c>
      <c r="C20" s="384"/>
      <c r="D20" s="390" t="s">
        <v>54</v>
      </c>
      <c r="E20" s="286"/>
      <c r="F20" s="18">
        <f>FM36</f>
        <v>10262021.9365</v>
      </c>
      <c r="G20" s="313">
        <f t="shared" si="108"/>
        <v>0.49374890570281921</v>
      </c>
      <c r="H20" s="18">
        <f>FR36</f>
        <v>9669260.545699697</v>
      </c>
      <c r="I20" s="309">
        <f t="shared" si="109"/>
        <v>0.46411085494423426</v>
      </c>
      <c r="J20" s="290">
        <f t="shared" si="59"/>
        <v>-592761.39080030285</v>
      </c>
      <c r="K20" s="18">
        <f>JT26</f>
        <v>9826395.2532786801</v>
      </c>
      <c r="L20" s="309">
        <f t="shared" si="110"/>
        <v>0.46515584067263549</v>
      </c>
      <c r="M20" s="290">
        <f t="shared" si="60"/>
        <v>157134.70757898316</v>
      </c>
      <c r="N20" s="18">
        <f>LX27</f>
        <v>10702170.12442342</v>
      </c>
      <c r="O20" s="309">
        <f t="shared" si="111"/>
        <v>0.48584144633236098</v>
      </c>
      <c r="P20" s="290">
        <f t="shared" si="61"/>
        <v>875774.87114473991</v>
      </c>
      <c r="Q20" s="18">
        <f t="shared" si="62"/>
        <v>440148.18792342022</v>
      </c>
      <c r="R20" s="310">
        <f t="shared" si="63"/>
        <v>-1.6015143080069127E-2</v>
      </c>
      <c r="V20" s="249">
        <f t="shared" si="64"/>
        <v>11</v>
      </c>
      <c r="W20" s="463" t="s">
        <v>134</v>
      </c>
      <c r="X20" s="20">
        <f>X18-X14</f>
        <v>4293839.9830105882</v>
      </c>
      <c r="Y20" s="20">
        <f t="shared" ref="Y20:AA20" si="123">Y18-Y14</f>
        <v>11849174.337530591</v>
      </c>
      <c r="Z20" s="20">
        <f t="shared" si="123"/>
        <v>23143601.184363872</v>
      </c>
      <c r="AA20" s="20">
        <f t="shared" si="123"/>
        <v>39286615.504905045</v>
      </c>
      <c r="AB20" s="20"/>
      <c r="AC20" s="349"/>
      <c r="AF20" s="385">
        <f t="shared" si="80"/>
        <v>14</v>
      </c>
      <c r="AG20" s="388" t="s">
        <v>186</v>
      </c>
      <c r="AH20" s="389">
        <f>AH19*3600/$N$24</f>
        <v>3.0694523728800589</v>
      </c>
      <c r="AI20" s="389">
        <f>AI19*3600/$N$24</f>
        <v>0.19273652493560514</v>
      </c>
      <c r="AJ20" s="389">
        <f>AJ19*3600/$N$24</f>
        <v>0.89459897587857218</v>
      </c>
      <c r="AL20" s="464"/>
      <c r="AN20" s="283">
        <f t="shared" si="121"/>
        <v>15</v>
      </c>
      <c r="AO20" s="284"/>
      <c r="AP20" s="282" t="s">
        <v>238</v>
      </c>
      <c r="AQ20" s="281"/>
      <c r="AR20" s="286"/>
      <c r="AS20" s="392">
        <v>8347158.8556000106</v>
      </c>
      <c r="AT20" s="393">
        <v>0.81397546749984451</v>
      </c>
      <c r="AU20" s="394"/>
      <c r="AV20" s="392">
        <v>7285795.8646500036</v>
      </c>
      <c r="AW20" s="393">
        <v>0.67512429859622292</v>
      </c>
      <c r="AX20" s="383">
        <f t="shared" si="96"/>
        <v>-0.17058397267193814</v>
      </c>
      <c r="AY20" s="394"/>
      <c r="AZ20" s="392">
        <v>9252422.5520105362</v>
      </c>
      <c r="BA20" s="393">
        <v>0.71716600089519644</v>
      </c>
      <c r="BB20" s="383">
        <f t="shared" si="97"/>
        <v>6.2272536163178183E-2</v>
      </c>
      <c r="BC20" s="394"/>
      <c r="BD20" s="392">
        <v>10915527.954034619</v>
      </c>
      <c r="BE20" s="393">
        <v>0.74224448966694945</v>
      </c>
      <c r="BF20" s="383">
        <f t="shared" si="98"/>
        <v>3.4968875742086292E-2</v>
      </c>
      <c r="BG20" s="394"/>
      <c r="BH20" s="392">
        <v>3838414.9907733351</v>
      </c>
      <c r="BI20" s="393">
        <v>0.25258689065096962</v>
      </c>
      <c r="BJ20" s="383">
        <f t="shared" si="99"/>
        <v>-0.65969853038005422</v>
      </c>
      <c r="BK20" s="394"/>
      <c r="BL20" s="392">
        <v>5658223.4029922634</v>
      </c>
      <c r="BM20" s="393">
        <v>0.33637236438364621</v>
      </c>
      <c r="BN20" s="383">
        <f t="shared" si="100"/>
        <v>0.33170951000958038</v>
      </c>
      <c r="BO20" s="394"/>
      <c r="BP20" s="392">
        <v>8558427.9676000625</v>
      </c>
      <c r="BQ20" s="393">
        <v>0.46142281150297859</v>
      </c>
      <c r="BR20" s="383">
        <f t="shared" si="101"/>
        <v>0.37176195300249848</v>
      </c>
      <c r="BS20" s="394"/>
      <c r="BT20" s="97">
        <v>12790093</v>
      </c>
      <c r="BU20" s="97">
        <v>0.65</v>
      </c>
      <c r="BV20" s="97">
        <f t="shared" si="102"/>
        <v>0.40868631501501773</v>
      </c>
      <c r="BW20" s="18">
        <v>16992816.141500026</v>
      </c>
      <c r="BX20" s="19">
        <v>0.87785804171546822</v>
      </c>
      <c r="BY20" s="19">
        <f t="shared" si="65"/>
        <v>0.35055083340841264</v>
      </c>
      <c r="BZ20" s="19">
        <v>13569776.854138836</v>
      </c>
      <c r="CA20" s="19">
        <v>0.66521868747413349</v>
      </c>
      <c r="CB20" s="19">
        <f t="shared" si="66"/>
        <v>-0.24222521653478857</v>
      </c>
      <c r="CC20" s="18">
        <f t="shared" si="122"/>
        <v>5345041.1556581408</v>
      </c>
      <c r="CD20" s="19">
        <f t="shared" si="122"/>
        <v>0.2571723426312264</v>
      </c>
      <c r="CE20" s="395">
        <f t="shared" si="104"/>
        <v>-0.61340180684381873</v>
      </c>
      <c r="CF20" s="396">
        <f>CC20/AS20-1</f>
        <v>-0.35965742977657411</v>
      </c>
      <c r="CG20" s="395">
        <f t="shared" si="105"/>
        <v>-2.4459886578234724E-2</v>
      </c>
      <c r="CX20" s="438"/>
      <c r="CY20" s="439"/>
      <c r="CZ20" s="440"/>
      <c r="DA20" s="518"/>
      <c r="DB20" s="440"/>
      <c r="EO20" s="408"/>
      <c r="FE20" s="408"/>
      <c r="FG20" s="483">
        <f t="shared" si="84"/>
        <v>15</v>
      </c>
      <c r="FH20" s="495"/>
      <c r="FI20" s="496" t="s">
        <v>239</v>
      </c>
      <c r="FJ20" s="28">
        <f>SUM(FJ7:FJ19)</f>
        <v>1380140.4319</v>
      </c>
      <c r="FK20" s="28">
        <f>SUM(FK7:FK19)</f>
        <v>2133149.0299999998</v>
      </c>
      <c r="FL20" s="28">
        <f>SUM(FL7:FL19)</f>
        <v>3585332.5999999996</v>
      </c>
      <c r="FM20" s="497">
        <f t="shared" si="28"/>
        <v>7098622.0618999992</v>
      </c>
      <c r="FN20" s="28">
        <v>1367749.0706878789</v>
      </c>
      <c r="FO20" s="28">
        <v>1957850.02</v>
      </c>
      <c r="FP20" s="28">
        <v>3562684.7899999996</v>
      </c>
      <c r="FQ20" s="28">
        <v>6888283.8806878785</v>
      </c>
      <c r="FR20" s="28">
        <v>6888283.8806878785</v>
      </c>
      <c r="FS20" s="103"/>
      <c r="FT20" s="408"/>
      <c r="GB20" s="355"/>
      <c r="GC20" s="355"/>
      <c r="GD20" s="355"/>
      <c r="GE20" s="355"/>
      <c r="HW20" s="283">
        <v>15</v>
      </c>
      <c r="HX20" s="306">
        <v>15</v>
      </c>
      <c r="HY20" s="306">
        <v>10</v>
      </c>
      <c r="HZ20" s="306">
        <v>10</v>
      </c>
      <c r="IA20" s="307">
        <v>149240972</v>
      </c>
      <c r="IB20" s="307">
        <v>147703472</v>
      </c>
      <c r="IC20" s="309">
        <f t="shared" si="5"/>
        <v>1</v>
      </c>
      <c r="ID20" s="309">
        <f t="shared" si="6"/>
        <v>0.98969786929557124</v>
      </c>
      <c r="IE20" s="310">
        <v>0</v>
      </c>
      <c r="IF20" s="310">
        <v>0.7</v>
      </c>
      <c r="IG20" s="310">
        <v>0.3</v>
      </c>
      <c r="IK20" s="410">
        <v>15</v>
      </c>
      <c r="IL20" s="317">
        <v>15</v>
      </c>
      <c r="IM20" s="313">
        <f t="shared" si="7"/>
        <v>0.98969786929557124</v>
      </c>
      <c r="IN20" s="17">
        <v>41766.03</v>
      </c>
      <c r="IO20" s="290">
        <f>IM20*IN20</f>
        <v>41335.750899934908</v>
      </c>
      <c r="IP20" s="17">
        <v>16519827</v>
      </c>
      <c r="IQ20" s="290">
        <v>16334685</v>
      </c>
      <c r="IR20" s="17">
        <v>7053332.9710000008</v>
      </c>
      <c r="IS20" s="290">
        <v>6877204</v>
      </c>
      <c r="IT20" s="17">
        <v>225000</v>
      </c>
      <c r="IU20" s="17">
        <v>225000</v>
      </c>
      <c r="IV20" s="17">
        <f t="shared" si="30"/>
        <v>7320099.0010000011</v>
      </c>
      <c r="IW20" s="17">
        <f t="shared" si="30"/>
        <v>7143539.7508999351</v>
      </c>
      <c r="IX20" s="314"/>
      <c r="IY20" s="315"/>
      <c r="IZ20" s="314"/>
      <c r="JA20" s="316">
        <v>15</v>
      </c>
      <c r="JB20" s="317">
        <v>15</v>
      </c>
      <c r="JC20" s="318">
        <f t="shared" si="8"/>
        <v>1</v>
      </c>
      <c r="JD20" s="319">
        <f t="shared" si="8"/>
        <v>0.98969786929557124</v>
      </c>
      <c r="JE20" s="17">
        <v>2666481.7718156227</v>
      </c>
      <c r="JF20" s="290">
        <f t="shared" si="70"/>
        <v>2639011.3280814015</v>
      </c>
      <c r="JG20" s="17">
        <v>12386.502</v>
      </c>
      <c r="JH20" s="290">
        <f t="shared" si="31"/>
        <v>12258.894637425332</v>
      </c>
      <c r="JI20" s="17">
        <v>1393972.8261843773</v>
      </c>
      <c r="JJ20" s="290">
        <f t="shared" si="32"/>
        <v>1393972.8261843773</v>
      </c>
      <c r="JK20" s="17">
        <v>1404302.105180813</v>
      </c>
      <c r="JL20" s="290">
        <v>1404302.105180813</v>
      </c>
      <c r="JM20" s="17">
        <v>114885.56999999998</v>
      </c>
      <c r="JN20" s="290">
        <f t="shared" si="33"/>
        <v>113702.00384180718</v>
      </c>
      <c r="JO20" s="17">
        <v>58294.29</v>
      </c>
      <c r="JP20" s="290">
        <f t="shared" si="34"/>
        <v>57693.734605098129</v>
      </c>
      <c r="JQ20" s="17">
        <v>404259.63</v>
      </c>
      <c r="JR20" s="290">
        <f t="shared" si="35"/>
        <v>400094.89445321599</v>
      </c>
      <c r="JS20" s="17">
        <v>619509.42179999989</v>
      </c>
      <c r="JT20" s="290">
        <f t="shared" si="36"/>
        <v>613127.15476399125</v>
      </c>
      <c r="JU20" s="17">
        <f t="shared" si="37"/>
        <v>6674092.1169808125</v>
      </c>
      <c r="JV20" s="17">
        <f t="shared" si="37"/>
        <v>6634162.9417481301</v>
      </c>
      <c r="JW20" s="320">
        <f t="shared" si="9"/>
        <v>4.4915416353571764</v>
      </c>
      <c r="KA20" s="283">
        <v>15</v>
      </c>
      <c r="KB20" s="306">
        <v>15</v>
      </c>
      <c r="KC20" s="97">
        <f t="shared" si="10"/>
        <v>10</v>
      </c>
      <c r="KD20" s="390">
        <f>KC20</f>
        <v>10</v>
      </c>
      <c r="KE20" s="289">
        <f t="shared" si="12"/>
        <v>147703472</v>
      </c>
      <c r="KF20" s="289">
        <f t="shared" si="13"/>
        <v>154018270.74379554</v>
      </c>
      <c r="KG20" s="321">
        <f t="shared" si="38"/>
        <v>1</v>
      </c>
      <c r="KH20" s="321">
        <f t="shared" si="39"/>
        <v>1.0427532180407753</v>
      </c>
      <c r="KI20" s="321">
        <f t="shared" si="40"/>
        <v>0.96787704377785377</v>
      </c>
      <c r="KJ20" s="306" t="s">
        <v>256</v>
      </c>
      <c r="KK20" s="322"/>
      <c r="KL20" s="323"/>
      <c r="KM20" s="322"/>
      <c r="KN20" s="283">
        <v>15</v>
      </c>
      <c r="KO20" s="306">
        <v>15</v>
      </c>
      <c r="KP20" s="324" t="str">
        <f t="shared" si="14"/>
        <v>Q3</v>
      </c>
      <c r="KQ20" s="325">
        <f t="shared" si="15"/>
        <v>0.96787704377785377</v>
      </c>
      <c r="KR20" s="17">
        <f t="shared" si="41"/>
        <v>41335.750899934908</v>
      </c>
      <c r="KS20" s="17">
        <f t="shared" si="42"/>
        <v>40007.924383366757</v>
      </c>
      <c r="KT20" s="17">
        <f t="shared" si="16"/>
        <v>16334685</v>
      </c>
      <c r="KU20" s="17">
        <f t="shared" si="43"/>
        <v>16771202.654658146</v>
      </c>
      <c r="KV20" s="17">
        <f t="shared" si="17"/>
        <v>6877204</v>
      </c>
      <c r="KW20" s="17">
        <f t="shared" si="18"/>
        <v>9206513.6743502282</v>
      </c>
      <c r="KX20" s="17">
        <f t="shared" si="44"/>
        <v>225000</v>
      </c>
      <c r="KY20" s="17">
        <f t="shared" si="45"/>
        <v>332739.29523731803</v>
      </c>
      <c r="KZ20" s="17">
        <f t="shared" si="46"/>
        <v>7143539.7508999351</v>
      </c>
      <c r="LA20" s="17">
        <f t="shared" si="46"/>
        <v>9579260.8939709123</v>
      </c>
      <c r="LB20" s="326"/>
      <c r="LC20" s="323"/>
      <c r="LD20" s="322"/>
      <c r="LE20" s="364">
        <f t="shared" si="71"/>
        <v>15</v>
      </c>
      <c r="LF20" s="365">
        <v>14</v>
      </c>
      <c r="LG20" s="411">
        <f t="shared" si="72"/>
        <v>1</v>
      </c>
      <c r="LH20" s="411">
        <f t="shared" si="72"/>
        <v>1.0427532180407753</v>
      </c>
      <c r="LI20" s="412">
        <v>106.45762205358784</v>
      </c>
      <c r="LJ20" s="343">
        <f t="shared" si="73"/>
        <v>3000421.5745792221</v>
      </c>
      <c r="LK20" s="412">
        <v>106.45762205358784</v>
      </c>
      <c r="LL20" s="343">
        <f t="shared" si="47"/>
        <v>73705.827229829476</v>
      </c>
      <c r="LM20" s="412">
        <v>106.45762205358784</v>
      </c>
      <c r="LN20" s="343">
        <f t="shared" si="48"/>
        <v>1014636.7710911277</v>
      </c>
      <c r="LO20" s="412">
        <v>118.614283549666</v>
      </c>
      <c r="LP20" s="343">
        <f t="shared" si="74"/>
        <v>1625085.1935854214</v>
      </c>
      <c r="LQ20" s="412">
        <v>119.48337591187899</v>
      </c>
      <c r="LR20" s="343">
        <f t="shared" si="49"/>
        <v>172113.07409800289</v>
      </c>
      <c r="LS20" s="412">
        <v>157.07111615098</v>
      </c>
      <c r="LT20" s="343">
        <f t="shared" si="50"/>
        <v>75334.717523014129</v>
      </c>
      <c r="LU20" s="412">
        <v>112.15574935818501</v>
      </c>
      <c r="LV20" s="343">
        <f t="shared" si="51"/>
        <v>460488.83066264185</v>
      </c>
      <c r="LW20" s="412">
        <v>116.939890710382</v>
      </c>
      <c r="LX20" s="343">
        <f t="shared" si="52"/>
        <v>700287.16182230751</v>
      </c>
      <c r="LY20" s="20">
        <f t="shared" si="53"/>
        <v>7347590.0960875181</v>
      </c>
      <c r="LZ20" s="20">
        <f t="shared" si="75"/>
        <v>7122073.1505915681</v>
      </c>
      <c r="MA20" s="103"/>
      <c r="MB20" s="335"/>
      <c r="MD20" s="283">
        <v>15</v>
      </c>
      <c r="ME20" s="336">
        <v>15</v>
      </c>
      <c r="MF20" s="17">
        <f t="shared" si="19"/>
        <v>7320099.0010000011</v>
      </c>
      <c r="MG20" s="17">
        <f t="shared" si="19"/>
        <v>7143539.7508999351</v>
      </c>
      <c r="MH20" s="290">
        <f t="shared" si="20"/>
        <v>9579260.8939709123</v>
      </c>
      <c r="MI20" s="17">
        <f t="shared" si="21"/>
        <v>6674092.1169808125</v>
      </c>
      <c r="MJ20" s="17">
        <f t="shared" si="21"/>
        <v>6634162.9417481301</v>
      </c>
      <c r="MK20" s="290">
        <f t="shared" si="54"/>
        <v>6421054.0159997698</v>
      </c>
      <c r="ML20" s="17">
        <f t="shared" si="55"/>
        <v>646006.88401918858</v>
      </c>
      <c r="MM20" s="17">
        <f t="shared" si="55"/>
        <v>509376.80915180501</v>
      </c>
      <c r="MN20" s="17">
        <f t="shared" si="55"/>
        <v>3158206.8779711425</v>
      </c>
      <c r="MX20" s="446">
        <f t="shared" si="85"/>
        <v>14</v>
      </c>
      <c r="MY20" s="418" t="s">
        <v>54</v>
      </c>
      <c r="MZ20" s="24">
        <f t="shared" si="115"/>
        <v>10702170.12442342</v>
      </c>
      <c r="NA20" s="472">
        <f t="shared" si="116"/>
        <v>0.48584144633236098</v>
      </c>
      <c r="NB20" s="453"/>
      <c r="NC20" s="22">
        <f t="shared" si="117"/>
        <v>10702170.12442342</v>
      </c>
      <c r="ND20" s="472">
        <f t="shared" si="118"/>
        <v>0.48584144633236098</v>
      </c>
      <c r="NH20" s="446">
        <f t="shared" si="86"/>
        <v>14</v>
      </c>
      <c r="NI20" s="418" t="str">
        <f t="shared" si="58"/>
        <v>Overhead</v>
      </c>
      <c r="NJ20" s="24">
        <v>11416166.846978595</v>
      </c>
      <c r="NK20" s="24">
        <f t="shared" si="119"/>
        <v>10702170.12442342</v>
      </c>
      <c r="NL20" s="24">
        <f t="shared" si="77"/>
        <v>-713996.72255517542</v>
      </c>
      <c r="NM20" s="473">
        <f t="shared" si="78"/>
        <v>-6.2542597014000542E-2</v>
      </c>
    </row>
    <row r="21" spans="2:377" ht="17.25" thickBot="1" x14ac:dyDescent="0.35">
      <c r="B21" s="226">
        <f t="shared" si="79"/>
        <v>16</v>
      </c>
      <c r="C21" s="474" t="s">
        <v>240</v>
      </c>
      <c r="D21" s="474"/>
      <c r="E21" s="476"/>
      <c r="F21" s="498">
        <f>SUM(F14:F20)</f>
        <v>99050498.270499989</v>
      </c>
      <c r="G21" s="499">
        <f t="shared" si="108"/>
        <v>4.7657348067469085</v>
      </c>
      <c r="H21" s="498">
        <f>SUM(H14:H20)</f>
        <v>94716912.471479237</v>
      </c>
      <c r="I21" s="500">
        <f t="shared" si="109"/>
        <v>4.5462780754591217</v>
      </c>
      <c r="J21" s="501">
        <f t="shared" si="59"/>
        <v>-4333585.7990207523</v>
      </c>
      <c r="K21" s="498">
        <f>SUM(K14:K20)</f>
        <v>96946557.618657649</v>
      </c>
      <c r="L21" s="500">
        <f t="shared" si="110"/>
        <v>4.5891963784357532</v>
      </c>
      <c r="M21" s="501">
        <f t="shared" si="60"/>
        <v>2229645.1471784115</v>
      </c>
      <c r="N21" s="498">
        <f>SUM(N14:N20)</f>
        <v>94370095.032935366</v>
      </c>
      <c r="O21" s="500">
        <f t="shared" si="111"/>
        <v>4.2840753724043212</v>
      </c>
      <c r="P21" s="501">
        <f t="shared" si="61"/>
        <v>-2576462.5857222825</v>
      </c>
      <c r="Q21" s="498">
        <f t="shared" si="62"/>
        <v>-4680403.2375646234</v>
      </c>
      <c r="R21" s="502">
        <f t="shared" si="63"/>
        <v>-0.10106719191774927</v>
      </c>
      <c r="V21" s="275"/>
      <c r="W21" s="276" t="s">
        <v>29</v>
      </c>
      <c r="X21" s="415"/>
      <c r="Y21" s="416"/>
      <c r="Z21" s="416"/>
      <c r="AA21" s="416"/>
      <c r="AB21" s="279"/>
      <c r="AC21" s="351"/>
      <c r="AF21" s="503">
        <f t="shared" si="80"/>
        <v>15</v>
      </c>
      <c r="AG21" s="504" t="s">
        <v>195</v>
      </c>
      <c r="AH21" s="505">
        <f>LJ27/AH19</f>
        <v>18.126229971500376</v>
      </c>
      <c r="AI21" s="505">
        <f>LL27/AI19</f>
        <v>17.29124208865737</v>
      </c>
      <c r="AJ21" s="505">
        <f>LN27/AJ19</f>
        <v>28.701600342097091</v>
      </c>
      <c r="AL21" s="464"/>
      <c r="AN21" s="977" t="s">
        <v>241</v>
      </c>
      <c r="AO21" s="977"/>
      <c r="AP21" s="977"/>
      <c r="AQ21" s="977"/>
      <c r="AR21" s="977"/>
      <c r="AS21" s="977"/>
      <c r="AT21" s="977"/>
      <c r="AU21" s="977"/>
      <c r="AV21" s="977"/>
      <c r="AW21" s="977"/>
      <c r="AX21" s="977"/>
      <c r="AY21" s="977"/>
      <c r="AZ21" s="977"/>
      <c r="BA21" s="977"/>
      <c r="BB21" s="977"/>
      <c r="BC21" s="977"/>
      <c r="BD21" s="977"/>
      <c r="BE21" s="977"/>
      <c r="BF21" s="977"/>
      <c r="BG21" s="977"/>
      <c r="BH21" s="977"/>
      <c r="BI21" s="977"/>
      <c r="BJ21" s="977"/>
      <c r="BK21" s="977"/>
      <c r="BL21" s="977"/>
      <c r="BM21" s="977"/>
      <c r="BN21" s="977"/>
      <c r="BO21" s="977"/>
      <c r="BP21" s="977"/>
      <c r="BQ21" s="977"/>
      <c r="BR21" s="977"/>
      <c r="BS21" s="977"/>
      <c r="BT21" s="977"/>
      <c r="BU21" s="977"/>
      <c r="BV21" s="977"/>
      <c r="BW21" s="977"/>
      <c r="BX21" s="977"/>
      <c r="BY21" s="977"/>
      <c r="BZ21" s="977"/>
      <c r="CA21" s="977"/>
      <c r="CB21" s="977"/>
      <c r="CC21" s="977"/>
      <c r="CD21" s="977"/>
      <c r="CE21" s="977"/>
      <c r="CF21" s="977"/>
      <c r="CG21" s="977"/>
      <c r="CX21" s="438"/>
      <c r="CY21" s="91"/>
      <c r="CZ21" s="506"/>
      <c r="DA21" s="518"/>
      <c r="DB21" s="506"/>
      <c r="EO21" s="408"/>
      <c r="FE21" s="408"/>
      <c r="FG21" s="338">
        <f t="shared" si="84"/>
        <v>16</v>
      </c>
      <c r="FH21" s="474" t="s">
        <v>242</v>
      </c>
      <c r="FI21" s="476"/>
      <c r="FJ21" s="507"/>
      <c r="FK21" s="507"/>
      <c r="FL21" s="507"/>
      <c r="FM21" s="508"/>
      <c r="FN21" s="507"/>
      <c r="FO21" s="507"/>
      <c r="FP21" s="507"/>
      <c r="FQ21" s="507"/>
      <c r="FR21" s="507"/>
      <c r="FS21" s="103"/>
      <c r="FT21" s="408"/>
      <c r="HW21" s="338">
        <v>16</v>
      </c>
      <c r="HX21" s="322">
        <v>16</v>
      </c>
      <c r="HY21" s="322">
        <v>11</v>
      </c>
      <c r="HZ21" s="322">
        <v>11</v>
      </c>
      <c r="IA21" s="347">
        <v>176731631</v>
      </c>
      <c r="IB21" s="347">
        <v>176378863</v>
      </c>
      <c r="IC21" s="342">
        <f t="shared" si="5"/>
        <v>1</v>
      </c>
      <c r="ID21" s="342">
        <f t="shared" si="6"/>
        <v>0.99800393399866261</v>
      </c>
      <c r="IE21" s="344">
        <v>0</v>
      </c>
      <c r="IF21" s="344">
        <v>0.27272727272727271</v>
      </c>
      <c r="IG21" s="344">
        <v>0.72727272727272729</v>
      </c>
      <c r="IK21" s="364">
        <v>16</v>
      </c>
      <c r="IL21" s="365">
        <v>16</v>
      </c>
      <c r="IM21" s="341">
        <f t="shared" si="7"/>
        <v>0.99800393399866261</v>
      </c>
      <c r="IN21" s="20">
        <v>37428.76</v>
      </c>
      <c r="IO21" s="343">
        <f t="shared" si="29"/>
        <v>37354.049724691788</v>
      </c>
      <c r="IP21" s="20">
        <v>19638600</v>
      </c>
      <c r="IQ21" s="343">
        <v>19576608</v>
      </c>
      <c r="IR21" s="20">
        <v>8489478.1173999999</v>
      </c>
      <c r="IS21" s="343">
        <v>7937779</v>
      </c>
      <c r="IT21" s="20">
        <v>247500</v>
      </c>
      <c r="IU21" s="20">
        <v>247500</v>
      </c>
      <c r="IV21" s="20">
        <f t="shared" si="30"/>
        <v>8774406.8773999996</v>
      </c>
      <c r="IW21" s="20">
        <f t="shared" si="30"/>
        <v>8222633.0497246915</v>
      </c>
      <c r="IX21" s="314"/>
      <c r="IY21" s="315"/>
      <c r="IZ21" s="314"/>
      <c r="JA21" s="366">
        <v>16</v>
      </c>
      <c r="JB21" s="365">
        <v>16</v>
      </c>
      <c r="JC21" s="367">
        <f t="shared" si="8"/>
        <v>1</v>
      </c>
      <c r="JD21" s="368">
        <f t="shared" si="8"/>
        <v>0.99800393399866261</v>
      </c>
      <c r="JE21" s="20">
        <v>2972031.7157168714</v>
      </c>
      <c r="JF21" s="343">
        <f t="shared" si="70"/>
        <v>2966099.3442542325</v>
      </c>
      <c r="JG21" s="20">
        <v>123156.16099999999</v>
      </c>
      <c r="JH21" s="343">
        <f t="shared" si="31"/>
        <v>122910.33317417266</v>
      </c>
      <c r="JI21" s="20">
        <v>1606050.4232831288</v>
      </c>
      <c r="JJ21" s="343">
        <f t="shared" si="32"/>
        <v>1606050.4232831288</v>
      </c>
      <c r="JK21" s="20">
        <v>1758443.1926842947</v>
      </c>
      <c r="JL21" s="343">
        <v>1758443.1926842947</v>
      </c>
      <c r="JM21" s="20">
        <v>110720.24800000001</v>
      </c>
      <c r="JN21" s="343">
        <f t="shared" si="33"/>
        <v>110499.24307730756</v>
      </c>
      <c r="JO21" s="20">
        <v>56992.322</v>
      </c>
      <c r="JP21" s="343">
        <f t="shared" si="34"/>
        <v>56878.561563718526</v>
      </c>
      <c r="JQ21" s="20">
        <v>523193.18</v>
      </c>
      <c r="JR21" s="343">
        <f t="shared" si="35"/>
        <v>522148.85188127041</v>
      </c>
      <c r="JS21" s="20">
        <v>717971.55015000002</v>
      </c>
      <c r="JT21" s="343">
        <f t="shared" si="36"/>
        <v>716538.43154881813</v>
      </c>
      <c r="JU21" s="20">
        <f t="shared" si="37"/>
        <v>7868558.792834294</v>
      </c>
      <c r="JV21" s="20">
        <f t="shared" si="37"/>
        <v>7859568.3814669428</v>
      </c>
      <c r="JW21" s="369">
        <f t="shared" si="9"/>
        <v>4.4560715767098147</v>
      </c>
      <c r="KA21" s="338">
        <v>16</v>
      </c>
      <c r="KB21" s="322">
        <v>16</v>
      </c>
      <c r="KC21" s="518">
        <f t="shared" si="10"/>
        <v>11</v>
      </c>
      <c r="KD21" s="96">
        <f>KC21</f>
        <v>11</v>
      </c>
      <c r="KE21" s="370">
        <f t="shared" si="12"/>
        <v>176378863</v>
      </c>
      <c r="KF21" s="370">
        <f t="shared" si="13"/>
        <v>183919626.98762304</v>
      </c>
      <c r="KG21" s="371">
        <f t="shared" si="38"/>
        <v>1</v>
      </c>
      <c r="KH21" s="371">
        <f t="shared" si="39"/>
        <v>1.0427532180407753</v>
      </c>
      <c r="KI21" s="371">
        <f t="shared" si="40"/>
        <v>0.93826764864861079</v>
      </c>
      <c r="KJ21" s="322" t="s">
        <v>441</v>
      </c>
      <c r="KK21" s="322"/>
      <c r="KL21" s="323"/>
      <c r="KM21" s="322"/>
      <c r="KN21" s="338">
        <v>16</v>
      </c>
      <c r="KO21" s="322">
        <v>16</v>
      </c>
      <c r="KP21" s="437" t="str">
        <f t="shared" si="14"/>
        <v>Q2</v>
      </c>
      <c r="KQ21" s="373">
        <f t="shared" si="15"/>
        <v>0.93826764864861079</v>
      </c>
      <c r="KR21" s="358">
        <f t="shared" si="41"/>
        <v>37354.049724691788</v>
      </c>
      <c r="KS21" s="358">
        <f t="shared" si="42"/>
        <v>35048.096402689851</v>
      </c>
      <c r="KT21" s="358">
        <f t="shared" si="16"/>
        <v>19576608</v>
      </c>
      <c r="KU21" s="358">
        <f t="shared" si="43"/>
        <v>20027191.069490805</v>
      </c>
      <c r="KV21" s="358">
        <f t="shared" si="17"/>
        <v>7937779</v>
      </c>
      <c r="KW21" s="358">
        <f t="shared" si="18"/>
        <v>10993881.132840568</v>
      </c>
      <c r="KX21" s="358">
        <f t="shared" si="44"/>
        <v>247500</v>
      </c>
      <c r="KY21" s="358">
        <f t="shared" si="45"/>
        <v>397337.84030059539</v>
      </c>
      <c r="KZ21" s="358">
        <f t="shared" si="46"/>
        <v>8222633.0497246915</v>
      </c>
      <c r="LA21" s="358">
        <f t="shared" si="46"/>
        <v>11426267.069543853</v>
      </c>
      <c r="LB21" s="326"/>
      <c r="LC21" s="323"/>
      <c r="LD21" s="322"/>
      <c r="LE21" s="374">
        <f t="shared" si="71"/>
        <v>16</v>
      </c>
      <c r="LF21" s="375">
        <v>15</v>
      </c>
      <c r="LG21" s="376">
        <f t="shared" si="72"/>
        <v>1</v>
      </c>
      <c r="LH21" s="376">
        <f t="shared" si="72"/>
        <v>1.0427532180407753</v>
      </c>
      <c r="LI21" s="377">
        <v>106.45762205358784</v>
      </c>
      <c r="LJ21" s="290">
        <f t="shared" si="73"/>
        <v>2427153.4906996195</v>
      </c>
      <c r="LK21" s="377">
        <v>106.45762205358784</v>
      </c>
      <c r="LL21" s="290">
        <f t="shared" si="47"/>
        <v>11274.759829461391</v>
      </c>
      <c r="LM21" s="377">
        <v>106.45762205358784</v>
      </c>
      <c r="LN21" s="290">
        <f t="shared" si="48"/>
        <v>1229500.631353986</v>
      </c>
      <c r="LO21" s="377">
        <v>118.614283549666</v>
      </c>
      <c r="LP21" s="290">
        <f t="shared" si="74"/>
        <v>1468932.6274243365</v>
      </c>
      <c r="LQ21" s="377">
        <v>119.48337591187899</v>
      </c>
      <c r="LR21" s="290">
        <f t="shared" si="49"/>
        <v>123956.41216071889</v>
      </c>
      <c r="LS21" s="377">
        <v>157.07111615098</v>
      </c>
      <c r="LT21" s="290">
        <f t="shared" si="50"/>
        <v>54699.83494587821</v>
      </c>
      <c r="LU21" s="377">
        <v>112.15574935818501</v>
      </c>
      <c r="LV21" s="290">
        <f t="shared" si="51"/>
        <v>438596.05184500024</v>
      </c>
      <c r="LW21" s="377">
        <v>116.939890710382</v>
      </c>
      <c r="LX21" s="378">
        <f t="shared" si="52"/>
        <v>666940.20774076995</v>
      </c>
      <c r="LY21" s="379">
        <f t="shared" si="53"/>
        <v>6634162.9417481301</v>
      </c>
      <c r="LZ21" s="379">
        <f t="shared" si="75"/>
        <v>6421054.0159997698</v>
      </c>
      <c r="MA21" s="103"/>
      <c r="MB21" s="335"/>
      <c r="MD21" s="338">
        <v>16</v>
      </c>
      <c r="ME21" s="380">
        <v>16</v>
      </c>
      <c r="MF21" s="20">
        <f t="shared" si="19"/>
        <v>8774406.8773999996</v>
      </c>
      <c r="MG21" s="20">
        <f t="shared" si="19"/>
        <v>8222633.0497246915</v>
      </c>
      <c r="MH21" s="343">
        <f t="shared" si="20"/>
        <v>11426267.069543853</v>
      </c>
      <c r="MI21" s="20">
        <f t="shared" si="21"/>
        <v>7868558.792834294</v>
      </c>
      <c r="MJ21" s="20">
        <f t="shared" si="21"/>
        <v>7859568.3814669428</v>
      </c>
      <c r="MK21" s="343">
        <f t="shared" si="54"/>
        <v>7374378.7446719557</v>
      </c>
      <c r="ML21" s="20">
        <f t="shared" si="55"/>
        <v>905848.08456570562</v>
      </c>
      <c r="MM21" s="20">
        <f t="shared" si="55"/>
        <v>363064.66825774871</v>
      </c>
      <c r="MN21" s="20">
        <f t="shared" si="55"/>
        <v>4051888.3248718977</v>
      </c>
      <c r="MX21" s="283">
        <f t="shared" si="85"/>
        <v>15</v>
      </c>
      <c r="MY21" s="285" t="s">
        <v>60</v>
      </c>
      <c r="MZ21" s="28">
        <f t="shared" si="115"/>
        <v>94370095.032935366</v>
      </c>
      <c r="NA21" s="509">
        <f t="shared" si="116"/>
        <v>4.2840753724043212</v>
      </c>
      <c r="NB21" s="285"/>
      <c r="NC21" s="510">
        <f>SUM(NC14:NC20)</f>
        <v>94370095.032935366</v>
      </c>
      <c r="ND21" s="509">
        <f t="shared" si="118"/>
        <v>4.2840753724043212</v>
      </c>
      <c r="NH21" s="283">
        <f t="shared" si="86"/>
        <v>15</v>
      </c>
      <c r="NI21" s="285" t="str">
        <f t="shared" si="58"/>
        <v>Total Operating Expenses</v>
      </c>
      <c r="NJ21" s="28">
        <v>117795882.44673061</v>
      </c>
      <c r="NK21" s="511">
        <f t="shared" si="119"/>
        <v>94370095.032935366</v>
      </c>
      <c r="NL21" s="511">
        <f t="shared" si="77"/>
        <v>-23425787.413795248</v>
      </c>
      <c r="NM21" s="466">
        <f t="shared" si="78"/>
        <v>-0.19886762531269975</v>
      </c>
    </row>
    <row r="22" spans="2:377" x14ac:dyDescent="0.3">
      <c r="B22" s="265">
        <f t="shared" si="79"/>
        <v>17</v>
      </c>
      <c r="C22" s="285" t="s">
        <v>238</v>
      </c>
      <c r="D22" s="285"/>
      <c r="E22" s="297"/>
      <c r="F22" s="510">
        <f>F12-F21</f>
        <v>5345041.1556581408</v>
      </c>
      <c r="G22" s="512">
        <f t="shared" si="108"/>
        <v>0.2571723426312264</v>
      </c>
      <c r="H22" s="510">
        <f>H12-H21</f>
        <v>3158874.550727129</v>
      </c>
      <c r="I22" s="513">
        <f t="shared" si="109"/>
        <v>0.15162151867461782</v>
      </c>
      <c r="J22" s="497">
        <f t="shared" si="59"/>
        <v>-2186166.6049310118</v>
      </c>
      <c r="K22" s="510">
        <f>K12-K21</f>
        <v>2982698.3570908159</v>
      </c>
      <c r="L22" s="513">
        <f t="shared" si="110"/>
        <v>0.14119313603862413</v>
      </c>
      <c r="M22" s="497">
        <f t="shared" si="60"/>
        <v>-176176.19363631308</v>
      </c>
      <c r="N22" s="510">
        <f>N12-N21</f>
        <v>42269313.861995831</v>
      </c>
      <c r="O22" s="513">
        <f t="shared" si="111"/>
        <v>1.9188804086867339</v>
      </c>
      <c r="P22" s="497">
        <f t="shared" si="61"/>
        <v>39286615.504905015</v>
      </c>
      <c r="Q22" s="510">
        <f t="shared" si="62"/>
        <v>36924272.70633769</v>
      </c>
      <c r="R22" s="514">
        <f t="shared" si="63"/>
        <v>6.4614571265865957</v>
      </c>
      <c r="V22" s="515">
        <v>11</v>
      </c>
      <c r="W22" s="516" t="s">
        <v>243</v>
      </c>
      <c r="X22" s="20">
        <f>X18-X7</f>
        <v>2552411.5727293766</v>
      </c>
      <c r="Y22" s="20">
        <f>Y18-Y7</f>
        <v>11176150.580696536</v>
      </c>
      <c r="Z22" s="20">
        <f>Z18-Z7</f>
        <v>23195710.552911881</v>
      </c>
      <c r="AA22" s="20">
        <f>AA18-AA7</f>
        <v>36924272.706337787</v>
      </c>
      <c r="AB22" s="20"/>
      <c r="AL22" s="464"/>
      <c r="AN22" s="338">
        <v>18</v>
      </c>
      <c r="AO22" s="492"/>
      <c r="AP22" s="493" t="s">
        <v>244</v>
      </c>
      <c r="AQ22" s="475"/>
      <c r="AR22" s="352"/>
      <c r="AS22" s="517"/>
      <c r="AT22" s="349">
        <v>1025480397</v>
      </c>
      <c r="AU22" s="351"/>
      <c r="AV22" s="517"/>
      <c r="AW22" s="349">
        <v>1079178438.6666701</v>
      </c>
      <c r="AX22" s="351"/>
      <c r="AY22" s="350"/>
      <c r="AZ22" s="517"/>
      <c r="BA22" s="349">
        <v>1290136807.9999998</v>
      </c>
      <c r="BB22" s="351"/>
      <c r="BC22" s="350"/>
      <c r="BD22" s="517"/>
      <c r="BE22" s="349">
        <v>1470610844</v>
      </c>
      <c r="BF22" s="351"/>
      <c r="BG22" s="350"/>
      <c r="BH22" s="517"/>
      <c r="BI22" s="349">
        <v>1519641411.6666667</v>
      </c>
      <c r="BJ22" s="351"/>
      <c r="BK22" s="350"/>
      <c r="BL22" s="517"/>
      <c r="BM22" s="349">
        <v>1682130877</v>
      </c>
      <c r="BN22" s="351"/>
      <c r="BO22" s="350"/>
      <c r="BP22" s="517"/>
      <c r="BQ22" s="349">
        <v>1854790824</v>
      </c>
      <c r="BR22" s="351"/>
      <c r="BS22" s="350"/>
      <c r="BT22" s="959">
        <v>1962055288</v>
      </c>
      <c r="BU22" s="959"/>
      <c r="BV22" s="960"/>
      <c r="BW22" s="519"/>
      <c r="BZ22" s="520"/>
      <c r="CA22" s="352"/>
      <c r="CC22" s="521">
        <f>F24</f>
        <v>2078388796</v>
      </c>
      <c r="CD22" s="16"/>
      <c r="CE22" s="352"/>
      <c r="CF22" s="520">
        <f>CC22/AT22-1</f>
        <v>1.0267464907961572</v>
      </c>
      <c r="CG22" s="352">
        <f t="shared" si="105"/>
        <v>4.0026517835208386E-2</v>
      </c>
      <c r="CZ22" s="347"/>
      <c r="DB22" s="347"/>
      <c r="DC22" s="103"/>
      <c r="DD22" s="103"/>
      <c r="EO22" s="106"/>
      <c r="FE22" s="106"/>
      <c r="FG22" s="338">
        <f>FG21+1</f>
        <v>17</v>
      </c>
      <c r="FH22" s="97"/>
      <c r="FI22" s="286" t="s">
        <v>245</v>
      </c>
      <c r="FJ22" s="17">
        <v>400</v>
      </c>
      <c r="FK22" s="17">
        <v>2406.81</v>
      </c>
      <c r="FL22" s="17">
        <v>2800</v>
      </c>
      <c r="FM22" s="290">
        <f>FJ22+FL22+FK22</f>
        <v>5606.8099999999995</v>
      </c>
      <c r="FN22" s="17">
        <v>0</v>
      </c>
      <c r="FO22" s="17">
        <v>0</v>
      </c>
      <c r="FP22" s="17">
        <v>0</v>
      </c>
      <c r="FQ22" s="17">
        <v>0</v>
      </c>
      <c r="FR22" s="17">
        <v>0</v>
      </c>
      <c r="FS22" s="103"/>
      <c r="FT22" s="408"/>
      <c r="HW22" s="283">
        <v>17</v>
      </c>
      <c r="HX22" s="306">
        <v>17</v>
      </c>
      <c r="HY22" s="306">
        <v>10</v>
      </c>
      <c r="HZ22" s="306">
        <v>10</v>
      </c>
      <c r="IA22" s="307">
        <v>183774613</v>
      </c>
      <c r="IB22" s="307">
        <v>183737150</v>
      </c>
      <c r="IC22" s="309">
        <f t="shared" si="5"/>
        <v>1</v>
      </c>
      <c r="ID22" s="309">
        <f t="shared" si="6"/>
        <v>0.99979614703364927</v>
      </c>
      <c r="IE22" s="310">
        <v>0</v>
      </c>
      <c r="IF22" s="310">
        <v>0.2</v>
      </c>
      <c r="IG22" s="310">
        <v>0.8</v>
      </c>
      <c r="IK22" s="410">
        <v>17</v>
      </c>
      <c r="IL22" s="317">
        <v>17</v>
      </c>
      <c r="IM22" s="313">
        <f t="shared" si="7"/>
        <v>0.99979614703364927</v>
      </c>
      <c r="IN22" s="17">
        <v>7831.14</v>
      </c>
      <c r="IO22" s="290">
        <f t="shared" si="29"/>
        <v>7829.5435988810923</v>
      </c>
      <c r="IP22" s="17">
        <v>20395998</v>
      </c>
      <c r="IQ22" s="290">
        <v>20373895</v>
      </c>
      <c r="IR22" s="17">
        <v>8616753.1788999997</v>
      </c>
      <c r="IS22" s="290">
        <v>8578324</v>
      </c>
      <c r="IT22" s="17">
        <v>225000</v>
      </c>
      <c r="IU22" s="17">
        <v>225000</v>
      </c>
      <c r="IV22" s="17">
        <f t="shared" si="30"/>
        <v>8849584.3189000003</v>
      </c>
      <c r="IW22" s="17">
        <f t="shared" si="30"/>
        <v>8811153.543598881</v>
      </c>
      <c r="IX22" s="314"/>
      <c r="IY22" s="315"/>
      <c r="IZ22" s="314"/>
      <c r="JA22" s="316">
        <v>17</v>
      </c>
      <c r="JB22" s="317">
        <v>17</v>
      </c>
      <c r="JC22" s="318">
        <f t="shared" si="8"/>
        <v>1</v>
      </c>
      <c r="JD22" s="319">
        <f t="shared" si="8"/>
        <v>0.99979614703364927</v>
      </c>
      <c r="JE22" s="17">
        <v>3071493.5962138455</v>
      </c>
      <c r="JF22" s="290">
        <f t="shared" si="70"/>
        <v>3070867.4631331302</v>
      </c>
      <c r="JG22" s="17">
        <v>140453.43700000003</v>
      </c>
      <c r="JH22" s="290">
        <f t="shared" si="31"/>
        <v>140424.80515023344</v>
      </c>
      <c r="JI22" s="17">
        <v>1584888.0867861542</v>
      </c>
      <c r="JJ22" s="290">
        <f t="shared" si="32"/>
        <v>1584888.0867861542</v>
      </c>
      <c r="JK22" s="17">
        <v>1875089.1032839823</v>
      </c>
      <c r="JL22" s="290">
        <v>1875089.1032839823</v>
      </c>
      <c r="JM22" s="17">
        <v>122276.40949999998</v>
      </c>
      <c r="JN22" s="290">
        <f t="shared" si="33"/>
        <v>122251.48309120869</v>
      </c>
      <c r="JO22" s="17">
        <v>66937.261999999988</v>
      </c>
      <c r="JP22" s="290">
        <f t="shared" si="34"/>
        <v>66923.616640581895</v>
      </c>
      <c r="JQ22" s="17">
        <v>216514.44469999999</v>
      </c>
      <c r="JR22" s="290">
        <f t="shared" si="35"/>
        <v>216470.30758819013</v>
      </c>
      <c r="JS22" s="17">
        <v>796380.27040000004</v>
      </c>
      <c r="JT22" s="290">
        <f t="shared" si="36"/>
        <v>796217.9259195358</v>
      </c>
      <c r="JU22" s="17">
        <f t="shared" si="37"/>
        <v>7874032.6098839818</v>
      </c>
      <c r="JV22" s="17">
        <f t="shared" si="37"/>
        <v>7873132.7915930171</v>
      </c>
      <c r="JW22" s="320">
        <f t="shared" si="9"/>
        <v>4.2849977762216396</v>
      </c>
      <c r="KA22" s="283">
        <v>17</v>
      </c>
      <c r="KB22" s="306">
        <v>17</v>
      </c>
      <c r="KC22" s="97">
        <f t="shared" si="10"/>
        <v>10</v>
      </c>
      <c r="KD22" s="390">
        <f t="shared" ref="KD22:KD25" si="124">KC22</f>
        <v>10</v>
      </c>
      <c r="KE22" s="289">
        <f t="shared" si="12"/>
        <v>183737150</v>
      </c>
      <c r="KF22" s="289">
        <f t="shared" si="13"/>
        <v>191592504.43614063</v>
      </c>
      <c r="KG22" s="321">
        <f t="shared" si="38"/>
        <v>1</v>
      </c>
      <c r="KH22" s="321">
        <f t="shared" si="39"/>
        <v>1.0427532180407753</v>
      </c>
      <c r="KI22" s="321">
        <f t="shared" si="40"/>
        <v>0.96694654504899302</v>
      </c>
      <c r="KJ22" s="306" t="s">
        <v>256</v>
      </c>
      <c r="KK22" s="322"/>
      <c r="KL22" s="323"/>
      <c r="KM22" s="322"/>
      <c r="KN22" s="283">
        <v>17</v>
      </c>
      <c r="KO22" s="306">
        <v>17</v>
      </c>
      <c r="KP22" s="324" t="str">
        <f t="shared" si="14"/>
        <v>Q3</v>
      </c>
      <c r="KQ22" s="325">
        <f t="shared" si="15"/>
        <v>0.96694654504899302</v>
      </c>
      <c r="KR22" s="17">
        <f t="shared" si="41"/>
        <v>7829.5435988810923</v>
      </c>
      <c r="KS22" s="17">
        <f t="shared" si="42"/>
        <v>7570.7501322485314</v>
      </c>
      <c r="KT22" s="17">
        <f t="shared" si="16"/>
        <v>20373895</v>
      </c>
      <c r="KU22" s="17">
        <f t="shared" si="43"/>
        <v>20862698.32464955</v>
      </c>
      <c r="KV22" s="17">
        <f t="shared" si="17"/>
        <v>8578324</v>
      </c>
      <c r="KW22" s="17">
        <f t="shared" si="18"/>
        <v>11452530.946335092</v>
      </c>
      <c r="KX22" s="17">
        <f t="shared" si="44"/>
        <v>225000</v>
      </c>
      <c r="KY22" s="17">
        <f t="shared" si="45"/>
        <v>413914.23621994059</v>
      </c>
      <c r="KZ22" s="17">
        <f t="shared" si="46"/>
        <v>8811153.543598881</v>
      </c>
      <c r="LA22" s="17">
        <f t="shared" si="46"/>
        <v>11874015.932687281</v>
      </c>
      <c r="LB22" s="326"/>
      <c r="LC22" s="323"/>
      <c r="LD22" s="322"/>
      <c r="LE22" s="364">
        <f t="shared" si="71"/>
        <v>17</v>
      </c>
      <c r="LF22" s="365">
        <v>16</v>
      </c>
      <c r="LG22" s="411">
        <f t="shared" si="72"/>
        <v>1</v>
      </c>
      <c r="LH22" s="411">
        <f t="shared" si="72"/>
        <v>1.0427532180407753</v>
      </c>
      <c r="LI22" s="412">
        <v>113.92083696213525</v>
      </c>
      <c r="LJ22" s="343">
        <f t="shared" si="73"/>
        <v>2549266.7060375419</v>
      </c>
      <c r="LK22" s="412">
        <v>113.92083696213525</v>
      </c>
      <c r="LL22" s="343">
        <f t="shared" si="47"/>
        <v>105637.46652514127</v>
      </c>
      <c r="LM22" s="412">
        <v>113.92083696213525</v>
      </c>
      <c r="LN22" s="343">
        <f t="shared" si="48"/>
        <v>1323753.7962013045</v>
      </c>
      <c r="LO22" s="412">
        <v>118.41952153062</v>
      </c>
      <c r="LP22" s="343">
        <f t="shared" si="74"/>
        <v>1842397.60847645</v>
      </c>
      <c r="LQ22" s="412">
        <v>118.887537452888</v>
      </c>
      <c r="LR22" s="343">
        <f t="shared" si="49"/>
        <v>121068.54835785233</v>
      </c>
      <c r="LS22" s="412">
        <v>168.49721907230401</v>
      </c>
      <c r="LT22" s="343">
        <f t="shared" si="50"/>
        <v>50270.078161774494</v>
      </c>
      <c r="LU22" s="412">
        <v>107.679074448752</v>
      </c>
      <c r="LV22" s="343">
        <f t="shared" si="51"/>
        <v>596192.16362442647</v>
      </c>
      <c r="LW22" s="412">
        <v>115.99271402550001</v>
      </c>
      <c r="LX22" s="343">
        <f t="shared" si="52"/>
        <v>785792.37728746561</v>
      </c>
      <c r="LY22" s="20">
        <f t="shared" si="53"/>
        <v>7859568.3814669428</v>
      </c>
      <c r="LZ22" s="20">
        <f t="shared" si="75"/>
        <v>7374378.7446719557</v>
      </c>
      <c r="MA22" s="103"/>
      <c r="MB22" s="335"/>
      <c r="MD22" s="283">
        <v>17</v>
      </c>
      <c r="ME22" s="336">
        <v>17</v>
      </c>
      <c r="MF22" s="17">
        <f t="shared" si="19"/>
        <v>8849584.3189000003</v>
      </c>
      <c r="MG22" s="17">
        <f t="shared" si="19"/>
        <v>8811153.543598881</v>
      </c>
      <c r="MH22" s="290">
        <f t="shared" si="20"/>
        <v>11874015.932687281</v>
      </c>
      <c r="MI22" s="17">
        <f t="shared" si="21"/>
        <v>7874032.6098839818</v>
      </c>
      <c r="MJ22" s="17">
        <f t="shared" si="21"/>
        <v>7873132.7915930171</v>
      </c>
      <c r="MK22" s="290">
        <f t="shared" si="54"/>
        <v>7612898.5515428018</v>
      </c>
      <c r="ML22" s="17">
        <f t="shared" si="55"/>
        <v>975551.70901601855</v>
      </c>
      <c r="MM22" s="17">
        <f t="shared" si="55"/>
        <v>938020.75200586393</v>
      </c>
      <c r="MN22" s="17">
        <f t="shared" si="55"/>
        <v>4261117.3811444789</v>
      </c>
      <c r="MX22" s="338">
        <f t="shared" si="85"/>
        <v>16</v>
      </c>
      <c r="MZ22" s="20"/>
      <c r="NA22" s="414"/>
      <c r="NC22" s="15"/>
      <c r="ND22" s="414"/>
      <c r="NH22" s="338">
        <f t="shared" si="86"/>
        <v>16</v>
      </c>
      <c r="NI22" s="96"/>
      <c r="NJ22" s="20"/>
      <c r="NK22" s="20"/>
      <c r="NL22" s="20"/>
      <c r="NM22" s="352"/>
    </row>
    <row r="23" spans="2:377" ht="17.25" thickBot="1" x14ac:dyDescent="0.35">
      <c r="B23" s="899" t="s">
        <v>246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V23" s="522">
        <v>12</v>
      </c>
      <c r="W23" s="523" t="s">
        <v>247</v>
      </c>
      <c r="X23" s="524">
        <f>X19/X8-1</f>
        <v>-10.490714444420703</v>
      </c>
      <c r="Y23" s="524">
        <f>Y19/Y8-1</f>
        <v>6.2320545233812163</v>
      </c>
      <c r="Z23" s="524">
        <f>Z19/Z8-1</f>
        <v>5.5566293303396597</v>
      </c>
      <c r="AA23" s="524">
        <f>AA19/AA8-1</f>
        <v>6.4614571265867324</v>
      </c>
      <c r="AB23" s="344"/>
      <c r="AL23" s="464"/>
      <c r="AN23" s="467">
        <v>19</v>
      </c>
      <c r="AO23" s="525"/>
      <c r="AP23" s="526" t="s">
        <v>248</v>
      </c>
      <c r="AQ23" s="527"/>
      <c r="AR23" s="528"/>
      <c r="AS23" s="529"/>
      <c r="AT23" s="530">
        <v>158</v>
      </c>
      <c r="AU23" s="531"/>
      <c r="AV23" s="529"/>
      <c r="AW23" s="530">
        <v>165</v>
      </c>
      <c r="AX23" s="531"/>
      <c r="AY23" s="532"/>
      <c r="AZ23" s="529"/>
      <c r="BA23" s="530">
        <v>184</v>
      </c>
      <c r="BB23" s="531"/>
      <c r="BC23" s="532"/>
      <c r="BD23" s="529"/>
      <c r="BE23" s="530">
        <v>190</v>
      </c>
      <c r="BF23" s="531"/>
      <c r="BG23" s="532"/>
      <c r="BH23" s="529"/>
      <c r="BI23" s="530">
        <v>191</v>
      </c>
      <c r="BJ23" s="531"/>
      <c r="BK23" s="532"/>
      <c r="BL23" s="529"/>
      <c r="BM23" s="530">
        <v>195</v>
      </c>
      <c r="BN23" s="531"/>
      <c r="BO23" s="532"/>
      <c r="BP23" s="529"/>
      <c r="BQ23" s="530">
        <v>189</v>
      </c>
      <c r="BR23" s="531"/>
      <c r="BS23" s="532"/>
      <c r="BT23" s="961">
        <v>179</v>
      </c>
      <c r="BU23" s="961"/>
      <c r="BV23" s="962"/>
      <c r="BW23" s="533"/>
      <c r="BX23" s="901"/>
      <c r="BY23" s="901"/>
      <c r="BZ23" s="534"/>
      <c r="CA23" s="535"/>
      <c r="CB23" s="97"/>
      <c r="CC23" s="536">
        <f>F25</f>
        <v>205</v>
      </c>
      <c r="CD23" s="535"/>
      <c r="CE23" s="528"/>
      <c r="CF23" s="534">
        <f>CC23/AT23-1</f>
        <v>0.29746835443037978</v>
      </c>
      <c r="CG23" s="528">
        <f t="shared" si="105"/>
        <v>1.4572657766658947E-2</v>
      </c>
      <c r="DA23" s="518"/>
      <c r="DX23" s="493"/>
      <c r="DZ23" s="537"/>
      <c r="EO23" s="538"/>
      <c r="FE23" s="538"/>
      <c r="FG23" s="338">
        <f t="shared" si="84"/>
        <v>18</v>
      </c>
      <c r="FH23" s="360"/>
      <c r="FI23" s="361" t="s">
        <v>249</v>
      </c>
      <c r="FJ23" s="20">
        <v>184467.98630000005</v>
      </c>
      <c r="FK23" s="20">
        <v>403622.42860000004</v>
      </c>
      <c r="FL23" s="20">
        <v>584954.08510000003</v>
      </c>
      <c r="FM23" s="343">
        <f>FJ23+FL23+FK23</f>
        <v>1173044.5</v>
      </c>
      <c r="FN23" s="20">
        <v>186722.60478181817</v>
      </c>
      <c r="FO23" s="20">
        <v>404621.59053000004</v>
      </c>
      <c r="FP23" s="20">
        <v>584954.08509999991</v>
      </c>
      <c r="FQ23" s="20">
        <v>1176298.2804118181</v>
      </c>
      <c r="FR23" s="20">
        <v>1176298.2804118181</v>
      </c>
      <c r="FS23" s="103"/>
      <c r="FT23" s="408"/>
      <c r="HW23" s="338">
        <v>18</v>
      </c>
      <c r="HX23" s="322">
        <v>18</v>
      </c>
      <c r="HY23" s="322">
        <v>10</v>
      </c>
      <c r="HZ23" s="322">
        <v>10</v>
      </c>
      <c r="IA23" s="347">
        <v>213390219</v>
      </c>
      <c r="IB23" s="347">
        <v>213547750</v>
      </c>
      <c r="IC23" s="342">
        <f t="shared" si="5"/>
        <v>1</v>
      </c>
      <c r="ID23" s="342">
        <f t="shared" si="6"/>
        <v>1.0007382297123937</v>
      </c>
      <c r="IE23" s="344">
        <v>0</v>
      </c>
      <c r="IF23" s="344">
        <v>0.1</v>
      </c>
      <c r="IG23" s="344">
        <v>0.9</v>
      </c>
      <c r="IK23" s="364">
        <v>18</v>
      </c>
      <c r="IL23" s="365">
        <v>18</v>
      </c>
      <c r="IM23" s="341">
        <f t="shared" si="7"/>
        <v>1.0007382297123937</v>
      </c>
      <c r="IN23" s="20">
        <v>28794.560000000001</v>
      </c>
      <c r="IO23" s="343">
        <f t="shared" si="29"/>
        <v>28815.816999747305</v>
      </c>
      <c r="IP23" s="20">
        <v>23950319.75</v>
      </c>
      <c r="IQ23" s="343">
        <v>23993455</v>
      </c>
      <c r="IR23" s="20">
        <v>10389360.884500001</v>
      </c>
      <c r="IS23" s="343">
        <v>10106699</v>
      </c>
      <c r="IT23" s="20">
        <v>225000</v>
      </c>
      <c r="IU23" s="20">
        <v>225000</v>
      </c>
      <c r="IV23" s="20">
        <f t="shared" si="30"/>
        <v>10643155.444500001</v>
      </c>
      <c r="IW23" s="20">
        <f t="shared" si="30"/>
        <v>10360514.816999746</v>
      </c>
      <c r="IX23" s="314"/>
      <c r="IY23" s="315"/>
      <c r="IZ23" s="314"/>
      <c r="JA23" s="366">
        <v>18</v>
      </c>
      <c r="JB23" s="365">
        <v>18</v>
      </c>
      <c r="JC23" s="367">
        <f t="shared" si="8"/>
        <v>1</v>
      </c>
      <c r="JD23" s="368">
        <f t="shared" si="8"/>
        <v>1.0007382297123937</v>
      </c>
      <c r="JE23" s="20">
        <v>3366026.4962374517</v>
      </c>
      <c r="JF23" s="343">
        <f t="shared" si="70"/>
        <v>3368511.3970096787</v>
      </c>
      <c r="JG23" s="20">
        <v>315994.95600000006</v>
      </c>
      <c r="JH23" s="343">
        <f t="shared" si="31"/>
        <v>316228.23286548577</v>
      </c>
      <c r="JI23" s="20">
        <v>1356438.8177625476</v>
      </c>
      <c r="JJ23" s="343">
        <f t="shared" si="32"/>
        <v>1356438.8177625476</v>
      </c>
      <c r="JK23" s="20">
        <v>2031537.2144496564</v>
      </c>
      <c r="JL23" s="343">
        <v>2031537.2144496564</v>
      </c>
      <c r="JM23" s="20">
        <v>178113.86633333337</v>
      </c>
      <c r="JN23" s="343">
        <f t="shared" si="33"/>
        <v>178245.35528164994</v>
      </c>
      <c r="JO23" s="20">
        <v>93376.38466666668</v>
      </c>
      <c r="JP23" s="343">
        <f t="shared" si="34"/>
        <v>93445.317888263511</v>
      </c>
      <c r="JQ23" s="20">
        <v>626429.43999999994</v>
      </c>
      <c r="JR23" s="343">
        <f t="shared" si="35"/>
        <v>626891.88882532611</v>
      </c>
      <c r="JS23" s="20">
        <v>1182378.5</v>
      </c>
      <c r="JT23" s="343">
        <f t="shared" si="36"/>
        <v>1183251.3669399954</v>
      </c>
      <c r="JU23" s="20">
        <f t="shared" si="37"/>
        <v>9150295.6754496563</v>
      </c>
      <c r="JV23" s="20">
        <f t="shared" si="37"/>
        <v>9154549.5910226032</v>
      </c>
      <c r="JW23" s="369">
        <f t="shared" si="9"/>
        <v>4.2868864649815341</v>
      </c>
      <c r="KA23" s="338">
        <v>18</v>
      </c>
      <c r="KB23" s="322">
        <v>18</v>
      </c>
      <c r="KC23" s="518">
        <f t="shared" si="10"/>
        <v>10</v>
      </c>
      <c r="KD23" s="96">
        <f t="shared" si="124"/>
        <v>10</v>
      </c>
      <c r="KE23" s="370">
        <f t="shared" si="12"/>
        <v>213547750</v>
      </c>
      <c r="KF23" s="370">
        <f t="shared" si="13"/>
        <v>222677603.51786697</v>
      </c>
      <c r="KG23" s="371">
        <f t="shared" si="38"/>
        <v>1</v>
      </c>
      <c r="KH23" s="371">
        <f t="shared" si="39"/>
        <v>1.0427532180407753</v>
      </c>
      <c r="KI23" s="371">
        <f t="shared" si="40"/>
        <v>0.95086559133320914</v>
      </c>
      <c r="KJ23" s="322" t="s">
        <v>441</v>
      </c>
      <c r="KK23" s="322"/>
      <c r="KL23" s="323"/>
      <c r="KM23" s="322"/>
      <c r="KN23" s="338">
        <v>18</v>
      </c>
      <c r="KO23" s="322">
        <v>18</v>
      </c>
      <c r="KP23" s="437" t="str">
        <f t="shared" si="14"/>
        <v>Q2</v>
      </c>
      <c r="KQ23" s="373">
        <f t="shared" si="15"/>
        <v>0.95086559133320914</v>
      </c>
      <c r="KR23" s="358">
        <f t="shared" si="41"/>
        <v>28815.816999747305</v>
      </c>
      <c r="KS23" s="358">
        <f t="shared" si="42"/>
        <v>27399.968871214263</v>
      </c>
      <c r="KT23" s="358">
        <f t="shared" si="16"/>
        <v>23993455</v>
      </c>
      <c r="KU23" s="358">
        <f t="shared" si="43"/>
        <v>24247585.674196433</v>
      </c>
      <c r="KV23" s="358">
        <f t="shared" si="17"/>
        <v>10106699</v>
      </c>
      <c r="KW23" s="358">
        <f t="shared" si="18"/>
        <v>13310657.182802876</v>
      </c>
      <c r="KX23" s="358">
        <f t="shared" si="44"/>
        <v>225000</v>
      </c>
      <c r="KY23" s="358">
        <f t="shared" si="45"/>
        <v>481070.12565361342</v>
      </c>
      <c r="KZ23" s="358">
        <f t="shared" si="46"/>
        <v>10360514.816999746</v>
      </c>
      <c r="LA23" s="358">
        <f t="shared" si="46"/>
        <v>13819127.277327703</v>
      </c>
      <c r="LB23" s="326"/>
      <c r="LC23" s="323"/>
      <c r="LD23" s="322"/>
      <c r="LE23" s="374">
        <f t="shared" si="71"/>
        <v>18</v>
      </c>
      <c r="LF23" s="375">
        <v>17</v>
      </c>
      <c r="LG23" s="376">
        <f t="shared" si="72"/>
        <v>1</v>
      </c>
      <c r="LH23" s="376">
        <f t="shared" si="72"/>
        <v>1.0427532180407753</v>
      </c>
      <c r="LI23" s="377">
        <v>106.45762205358784</v>
      </c>
      <c r="LJ23" s="290">
        <f t="shared" si="73"/>
        <v>2824340.5412125452</v>
      </c>
      <c r="LK23" s="377">
        <v>106.45762205358784</v>
      </c>
      <c r="LL23" s="290">
        <f t="shared" si="47"/>
        <v>129151.6077913137</v>
      </c>
      <c r="LM23" s="377">
        <v>106.45762205358784</v>
      </c>
      <c r="LN23" s="290">
        <f t="shared" si="48"/>
        <v>1397890.1645183493</v>
      </c>
      <c r="LO23" s="377">
        <v>118.614283549666</v>
      </c>
      <c r="LP23" s="290">
        <f t="shared" si="74"/>
        <v>1961386.7649846177</v>
      </c>
      <c r="LQ23" s="377">
        <v>119.48337591187899</v>
      </c>
      <c r="LR23" s="290">
        <f t="shared" si="49"/>
        <v>133276.94071598313</v>
      </c>
      <c r="LS23" s="377">
        <v>157.07111615098</v>
      </c>
      <c r="LT23" s="290">
        <f t="shared" si="50"/>
        <v>63450.750922572071</v>
      </c>
      <c r="LU23" s="377">
        <v>112.15574935818501</v>
      </c>
      <c r="LV23" s="290">
        <f t="shared" si="51"/>
        <v>237301.25919153634</v>
      </c>
      <c r="LW23" s="377">
        <v>116.939890710382</v>
      </c>
      <c r="LX23" s="378">
        <f t="shared" si="52"/>
        <v>866100.52220588329</v>
      </c>
      <c r="LY23" s="379">
        <f t="shared" si="53"/>
        <v>7873132.7915930171</v>
      </c>
      <c r="LZ23" s="379">
        <f t="shared" si="75"/>
        <v>7612898.5515428018</v>
      </c>
      <c r="MA23" s="103"/>
      <c r="MB23" s="335"/>
      <c r="MD23" s="338">
        <v>18</v>
      </c>
      <c r="ME23" s="380">
        <v>18</v>
      </c>
      <c r="MF23" s="20">
        <f t="shared" si="19"/>
        <v>10643155.444500001</v>
      </c>
      <c r="MG23" s="20">
        <f t="shared" si="19"/>
        <v>10360514.816999746</v>
      </c>
      <c r="MH23" s="343">
        <f t="shared" si="20"/>
        <v>13819127.277327703</v>
      </c>
      <c r="MI23" s="20">
        <f t="shared" si="21"/>
        <v>9150295.6754496563</v>
      </c>
      <c r="MJ23" s="20">
        <f t="shared" si="21"/>
        <v>9154549.5910226032</v>
      </c>
      <c r="MK23" s="343">
        <f t="shared" si="54"/>
        <v>8704746.2102568951</v>
      </c>
      <c r="ML23" s="20">
        <f t="shared" si="55"/>
        <v>1492859.7690503448</v>
      </c>
      <c r="MM23" s="20">
        <f t="shared" si="55"/>
        <v>1205965.2259771433</v>
      </c>
      <c r="MN23" s="20">
        <f t="shared" si="55"/>
        <v>5114381.0670708083</v>
      </c>
      <c r="MX23" s="283">
        <f>MX22+1</f>
        <v>17</v>
      </c>
      <c r="MY23" s="285" t="s">
        <v>250</v>
      </c>
      <c r="MZ23" s="28">
        <v>18998322.143907189</v>
      </c>
      <c r="NA23" s="509">
        <f>MZ23/$MZ$34*100</f>
        <v>0.86245800627106606</v>
      </c>
      <c r="NB23" s="285"/>
      <c r="NC23" s="539">
        <v>18998322.143907189</v>
      </c>
      <c r="ND23" s="509">
        <f>NC23/$ND$34*100</f>
        <v>0.86245800627106606</v>
      </c>
      <c r="NH23" s="283">
        <f>NH22+1</f>
        <v>17</v>
      </c>
      <c r="NI23" s="285" t="str">
        <f>MY23</f>
        <v>Total Return</v>
      </c>
      <c r="NJ23" s="28">
        <v>20413939.926346004</v>
      </c>
      <c r="NK23" s="28">
        <f>MZ23</f>
        <v>18998322.143907189</v>
      </c>
      <c r="NL23" s="28">
        <f t="shared" si="77"/>
        <v>-1415617.7824388146</v>
      </c>
      <c r="NM23" s="395">
        <f>NL23/NJ23</f>
        <v>-6.9345642612175712E-2</v>
      </c>
    </row>
    <row r="24" spans="2:377" x14ac:dyDescent="0.3">
      <c r="B24" s="540">
        <f>B22+1</f>
        <v>18</v>
      </c>
      <c r="C24" s="541" t="s">
        <v>244</v>
      </c>
      <c r="D24" s="541"/>
      <c r="E24" s="542"/>
      <c r="F24" s="963">
        <f>HN6</f>
        <v>2078388796</v>
      </c>
      <c r="G24" s="964"/>
      <c r="H24" s="963">
        <f>HR6</f>
        <v>2083394612.0181818</v>
      </c>
      <c r="I24" s="965"/>
      <c r="J24" s="964"/>
      <c r="K24" s="963">
        <f>IB26</f>
        <v>2112495296</v>
      </c>
      <c r="L24" s="965"/>
      <c r="M24" s="964"/>
      <c r="N24" s="963">
        <f>KF26</f>
        <v>2202811268</v>
      </c>
      <c r="O24" s="965"/>
      <c r="P24" s="964"/>
      <c r="Q24" s="902">
        <f t="shared" ref="Q24" si="125">N24-F24</f>
        <v>124422472</v>
      </c>
      <c r="R24" s="543">
        <f>N24/F24-1</f>
        <v>5.9864868517122138E-2</v>
      </c>
      <c r="AL24" s="464"/>
      <c r="DX24" s="493"/>
      <c r="DY24" s="280"/>
      <c r="FG24" s="483">
        <f t="shared" si="84"/>
        <v>19</v>
      </c>
      <c r="FH24" s="495"/>
      <c r="FI24" s="496" t="s">
        <v>239</v>
      </c>
      <c r="FJ24" s="28">
        <f>SUM(FJ22:FJ23)</f>
        <v>184867.98630000005</v>
      </c>
      <c r="FK24" s="28">
        <f>SUM(FK22:FK23)</f>
        <v>406029.23860000004</v>
      </c>
      <c r="FL24" s="28">
        <f>SUM(FL22:FL23)</f>
        <v>587754.08510000003</v>
      </c>
      <c r="FM24" s="497">
        <f>FJ24+FL24+FK24</f>
        <v>1178651.31</v>
      </c>
      <c r="FN24" s="28">
        <v>186722.60478181817</v>
      </c>
      <c r="FO24" s="28">
        <v>404621.59053000004</v>
      </c>
      <c r="FP24" s="28">
        <v>584954.08509999991</v>
      </c>
      <c r="FQ24" s="28">
        <v>1176298.2804118181</v>
      </c>
      <c r="FR24" s="28">
        <v>1176298.2804118181</v>
      </c>
      <c r="FS24" s="103"/>
      <c r="FT24" s="408"/>
      <c r="HW24" s="283">
        <v>19</v>
      </c>
      <c r="HX24" s="306">
        <v>19</v>
      </c>
      <c r="HY24" s="306">
        <v>10</v>
      </c>
      <c r="HZ24" s="306">
        <v>10</v>
      </c>
      <c r="IA24" s="307">
        <v>249773354</v>
      </c>
      <c r="IB24" s="307">
        <v>247985580</v>
      </c>
      <c r="IC24" s="309">
        <f t="shared" si="5"/>
        <v>1</v>
      </c>
      <c r="ID24" s="309">
        <f t="shared" si="6"/>
        <v>0.99284241504800386</v>
      </c>
      <c r="IE24" s="310">
        <v>0</v>
      </c>
      <c r="IF24" s="310">
        <v>0.1</v>
      </c>
      <c r="IG24" s="310">
        <v>0.9</v>
      </c>
      <c r="IK24" s="410">
        <v>19</v>
      </c>
      <c r="IL24" s="317">
        <v>19</v>
      </c>
      <c r="IM24" s="313">
        <f t="shared" si="7"/>
        <v>0.99284241504800386</v>
      </c>
      <c r="IN24" s="17">
        <v>15679.92</v>
      </c>
      <c r="IO24" s="290">
        <f t="shared" si="29"/>
        <v>15567.689640559496</v>
      </c>
      <c r="IP24" s="17">
        <v>26667177</v>
      </c>
      <c r="IQ24" s="290">
        <v>27520572</v>
      </c>
      <c r="IR24" s="17">
        <v>11438357.851000002</v>
      </c>
      <c r="IS24" s="290">
        <v>11555915</v>
      </c>
      <c r="IT24" s="17">
        <v>225000</v>
      </c>
      <c r="IU24" s="17">
        <v>225000</v>
      </c>
      <c r="IV24" s="17">
        <f t="shared" si="30"/>
        <v>11679037.771000002</v>
      </c>
      <c r="IW24" s="17">
        <f t="shared" si="30"/>
        <v>11796482.689640559</v>
      </c>
      <c r="IX24" s="314"/>
      <c r="IY24" s="315"/>
      <c r="IZ24" s="314"/>
      <c r="JA24" s="316">
        <v>19</v>
      </c>
      <c r="JB24" s="317">
        <v>19</v>
      </c>
      <c r="JC24" s="318">
        <f t="shared" si="8"/>
        <v>1</v>
      </c>
      <c r="JD24" s="319">
        <f t="shared" si="8"/>
        <v>0.99284241504800386</v>
      </c>
      <c r="JE24" s="17">
        <v>4734511.2557995431</v>
      </c>
      <c r="JF24" s="290">
        <f t="shared" si="70"/>
        <v>4700623.5892799757</v>
      </c>
      <c r="JG24" s="17">
        <v>230037.61</v>
      </c>
      <c r="JH24" s="290">
        <f t="shared" si="31"/>
        <v>228391.09626427083</v>
      </c>
      <c r="JI24" s="17">
        <v>1633641.354200457</v>
      </c>
      <c r="JJ24" s="290">
        <f t="shared" si="32"/>
        <v>1633641.354200457</v>
      </c>
      <c r="JK24" s="17">
        <v>2197514.8582347659</v>
      </c>
      <c r="JL24" s="290">
        <v>2197514.8582347659</v>
      </c>
      <c r="JM24" s="17">
        <v>105638.49200000003</v>
      </c>
      <c r="JN24" s="290">
        <f t="shared" si="33"/>
        <v>104882.37551930927</v>
      </c>
      <c r="JO24" s="17">
        <v>97911.6</v>
      </c>
      <c r="JP24" s="290">
        <f t="shared" si="34"/>
        <v>97210.789405214135</v>
      </c>
      <c r="JQ24" s="17">
        <v>945705.48</v>
      </c>
      <c r="JR24" s="290">
        <f t="shared" si="35"/>
        <v>938936.51268733165</v>
      </c>
      <c r="JS24" s="17">
        <v>1285143.97</v>
      </c>
      <c r="JT24" s="290">
        <f t="shared" si="36"/>
        <v>1275945.4428591793</v>
      </c>
      <c r="JU24" s="17">
        <f t="shared" si="37"/>
        <v>11230104.620234767</v>
      </c>
      <c r="JV24" s="17">
        <f t="shared" si="37"/>
        <v>11177146.018450504</v>
      </c>
      <c r="JW24" s="320">
        <f t="shared" si="9"/>
        <v>4.5071757875802714</v>
      </c>
      <c r="KA24" s="283">
        <v>19</v>
      </c>
      <c r="KB24" s="306">
        <v>19</v>
      </c>
      <c r="KC24" s="97">
        <f t="shared" si="10"/>
        <v>10</v>
      </c>
      <c r="KD24" s="390">
        <f t="shared" si="124"/>
        <v>10</v>
      </c>
      <c r="KE24" s="289">
        <f t="shared" si="12"/>
        <v>247985580</v>
      </c>
      <c r="KF24" s="289">
        <f t="shared" si="13"/>
        <v>258587761.5727081</v>
      </c>
      <c r="KG24" s="321">
        <f t="shared" si="38"/>
        <v>1</v>
      </c>
      <c r="KH24" s="321">
        <f t="shared" si="39"/>
        <v>1.0427532180407753</v>
      </c>
      <c r="KI24" s="321">
        <f t="shared" si="40"/>
        <v>0.97489920029485932</v>
      </c>
      <c r="KJ24" s="306" t="s">
        <v>256</v>
      </c>
      <c r="KK24" s="322"/>
      <c r="KL24" s="323"/>
      <c r="KM24" s="322"/>
      <c r="KN24" s="283">
        <v>19</v>
      </c>
      <c r="KO24" s="306">
        <v>19</v>
      </c>
      <c r="KP24" s="324" t="str">
        <f t="shared" si="14"/>
        <v>Q3</v>
      </c>
      <c r="KQ24" s="325">
        <f t="shared" si="15"/>
        <v>0.97489920029485932</v>
      </c>
      <c r="KR24" s="17">
        <f t="shared" si="41"/>
        <v>15567.689640559496</v>
      </c>
      <c r="KS24" s="17">
        <f t="shared" si="42"/>
        <v>15176.928181020019</v>
      </c>
      <c r="KT24" s="17">
        <f t="shared" si="16"/>
        <v>27520572</v>
      </c>
      <c r="KU24" s="17">
        <f t="shared" si="43"/>
        <v>28157878.493289176</v>
      </c>
      <c r="KV24" s="17">
        <f t="shared" si="17"/>
        <v>11555915</v>
      </c>
      <c r="KW24" s="17">
        <f t="shared" si="18"/>
        <v>15457203.560601963</v>
      </c>
      <c r="KX24" s="17">
        <f t="shared" si="44"/>
        <v>225000</v>
      </c>
      <c r="KY24" s="17">
        <f t="shared" si="45"/>
        <v>558650.01682707598</v>
      </c>
      <c r="KZ24" s="17">
        <f t="shared" si="46"/>
        <v>11796482.689640559</v>
      </c>
      <c r="LA24" s="17">
        <f t="shared" si="46"/>
        <v>16031030.50561006</v>
      </c>
      <c r="LB24" s="326"/>
      <c r="LC24" s="323"/>
      <c r="LD24" s="322"/>
      <c r="LE24" s="364">
        <f t="shared" si="71"/>
        <v>19</v>
      </c>
      <c r="LF24" s="365">
        <v>18</v>
      </c>
      <c r="LG24" s="411">
        <f t="shared" si="72"/>
        <v>1</v>
      </c>
      <c r="LH24" s="411">
        <f t="shared" si="72"/>
        <v>1.0427532180407753</v>
      </c>
      <c r="LI24" s="412">
        <v>113.92083696213525</v>
      </c>
      <c r="LJ24" s="343">
        <f t="shared" si="73"/>
        <v>2895126.8843842023</v>
      </c>
      <c r="LK24" s="412">
        <v>113.92083696213525</v>
      </c>
      <c r="LL24" s="343">
        <f t="shared" si="47"/>
        <v>271787.96526647033</v>
      </c>
      <c r="LM24" s="412">
        <v>113.92083696213525</v>
      </c>
      <c r="LN24" s="343">
        <f t="shared" si="48"/>
        <v>1118016.600411206</v>
      </c>
      <c r="LO24" s="412">
        <v>118.41952153062</v>
      </c>
      <c r="LP24" s="343">
        <f t="shared" si="74"/>
        <v>2128530.1231251913</v>
      </c>
      <c r="LQ24" s="412">
        <v>118.887537452888</v>
      </c>
      <c r="LR24" s="343">
        <f t="shared" si="49"/>
        <v>195294.60849230664</v>
      </c>
      <c r="LS24" s="412">
        <v>168.49721907230401</v>
      </c>
      <c r="LT24" s="343">
        <f t="shared" si="50"/>
        <v>82588.295219675449</v>
      </c>
      <c r="LU24" s="412">
        <v>107.679074448752</v>
      </c>
      <c r="LV24" s="343">
        <f t="shared" si="51"/>
        <v>715788.28567904222</v>
      </c>
      <c r="LW24" s="412">
        <v>115.99271402550001</v>
      </c>
      <c r="LX24" s="343">
        <f t="shared" si="52"/>
        <v>1297613.4476788009</v>
      </c>
      <c r="LY24" s="20">
        <f t="shared" si="53"/>
        <v>9154549.5910226032</v>
      </c>
      <c r="LZ24" s="20">
        <f t="shared" si="75"/>
        <v>8704746.2102568951</v>
      </c>
      <c r="MA24" s="103"/>
      <c r="MB24" s="335"/>
      <c r="MD24" s="283">
        <v>19</v>
      </c>
      <c r="ME24" s="336">
        <v>19</v>
      </c>
      <c r="MF24" s="17">
        <f t="shared" si="19"/>
        <v>11679037.771000002</v>
      </c>
      <c r="MG24" s="17">
        <f t="shared" si="19"/>
        <v>11796482.689640559</v>
      </c>
      <c r="MH24" s="290">
        <f t="shared" si="20"/>
        <v>16031030.50561006</v>
      </c>
      <c r="MI24" s="17">
        <f t="shared" si="21"/>
        <v>11230104.620234767</v>
      </c>
      <c r="MJ24" s="17">
        <f t="shared" si="21"/>
        <v>11177146.018450504</v>
      </c>
      <c r="MK24" s="290">
        <f t="shared" si="54"/>
        <v>10896590.714966267</v>
      </c>
      <c r="ML24" s="17">
        <f t="shared" si="55"/>
        <v>448933.1507652346</v>
      </c>
      <c r="MM24" s="17">
        <f t="shared" si="55"/>
        <v>619336.67119005509</v>
      </c>
      <c r="MN24" s="17">
        <f t="shared" si="55"/>
        <v>5134439.7906437926</v>
      </c>
      <c r="MX24" s="446">
        <f t="shared" si="85"/>
        <v>18</v>
      </c>
      <c r="MY24" s="418" t="s">
        <v>251</v>
      </c>
      <c r="MZ24" s="544">
        <f>1-(MZ8+MZ21)/(MZ8+MZ21+MZ23)</f>
        <v>5.3783846020128201E-2</v>
      </c>
      <c r="NA24" s="472"/>
      <c r="NB24" s="453"/>
      <c r="NC24" s="545">
        <f>1-(NC8+NC21)/(NC8+NC21+NC23)</f>
        <v>5.3783846020128201E-2</v>
      </c>
      <c r="ND24" s="472"/>
      <c r="NH24" s="446">
        <f t="shared" si="86"/>
        <v>18</v>
      </c>
      <c r="NI24" s="546" t="str">
        <f>MY24</f>
        <v>Pre-Tax Return</v>
      </c>
      <c r="NJ24" s="29">
        <v>5.3900000000000059E-2</v>
      </c>
      <c r="NK24" s="547">
        <f>MZ24</f>
        <v>5.3783846020128201E-2</v>
      </c>
      <c r="NL24" s="547">
        <f t="shared" si="77"/>
        <v>-1.1615397987185805E-4</v>
      </c>
      <c r="NM24" s="548">
        <f t="shared" si="78"/>
        <v>-2.1549903501272344E-3</v>
      </c>
    </row>
    <row r="25" spans="2:377" ht="17.25" thickBot="1" x14ac:dyDescent="0.35">
      <c r="B25" s="549">
        <f>B24+1</f>
        <v>19</v>
      </c>
      <c r="C25" s="550" t="s">
        <v>252</v>
      </c>
      <c r="D25" s="550"/>
      <c r="E25" s="551"/>
      <c r="F25" s="955">
        <f>HY26</f>
        <v>205</v>
      </c>
      <c r="G25" s="956"/>
      <c r="H25" s="955">
        <f>HY26</f>
        <v>205</v>
      </c>
      <c r="I25" s="957"/>
      <c r="J25" s="956"/>
      <c r="K25" s="955">
        <f>KC26</f>
        <v>221</v>
      </c>
      <c r="L25" s="957"/>
      <c r="M25" s="956"/>
      <c r="N25" s="955">
        <f>KD26</f>
        <v>221</v>
      </c>
      <c r="O25" s="957"/>
      <c r="P25" s="956"/>
      <c r="Q25" s="900">
        <f>N25-F25</f>
        <v>16</v>
      </c>
      <c r="R25" s="552">
        <f>N25/F25-1</f>
        <v>7.8048780487804947E-2</v>
      </c>
      <c r="AL25" s="464"/>
      <c r="DX25" s="475"/>
      <c r="FG25" s="338">
        <f t="shared" si="84"/>
        <v>20</v>
      </c>
      <c r="FH25" s="474" t="s">
        <v>253</v>
      </c>
      <c r="FI25" s="476"/>
      <c r="FJ25" s="507"/>
      <c r="FK25" s="507"/>
      <c r="FL25" s="507"/>
      <c r="FM25" s="508"/>
      <c r="FN25" s="507"/>
      <c r="FO25" s="507"/>
      <c r="FP25" s="507"/>
      <c r="FQ25" s="507"/>
      <c r="FR25" s="507"/>
      <c r="FS25" s="103"/>
      <c r="FT25" s="408"/>
      <c r="HW25" s="456">
        <v>20</v>
      </c>
      <c r="HX25" s="553">
        <v>20</v>
      </c>
      <c r="HY25" s="553">
        <v>11</v>
      </c>
      <c r="HZ25" s="553">
        <v>11</v>
      </c>
      <c r="IA25" s="554">
        <v>373317692</v>
      </c>
      <c r="IB25" s="554">
        <v>369485441</v>
      </c>
      <c r="IC25" s="555">
        <f t="shared" si="5"/>
        <v>1</v>
      </c>
      <c r="ID25" s="555">
        <f t="shared" si="6"/>
        <v>0.98973461188118561</v>
      </c>
      <c r="IE25" s="556">
        <v>0</v>
      </c>
      <c r="IF25" s="556">
        <v>0</v>
      </c>
      <c r="IG25" s="556">
        <v>1</v>
      </c>
      <c r="IK25" s="557">
        <v>20</v>
      </c>
      <c r="IL25" s="558">
        <v>20</v>
      </c>
      <c r="IM25" s="559">
        <f t="shared" si="7"/>
        <v>0.98973461188118561</v>
      </c>
      <c r="IN25" s="458">
        <v>66979.06</v>
      </c>
      <c r="IO25" s="560">
        <f t="shared" si="29"/>
        <v>66291.493953266647</v>
      </c>
      <c r="IP25" s="458">
        <v>41579002</v>
      </c>
      <c r="IQ25" s="560">
        <v>37694016</v>
      </c>
      <c r="IR25" s="458">
        <v>17884950.9947</v>
      </c>
      <c r="IS25" s="560">
        <v>15085757</v>
      </c>
      <c r="IT25" s="458">
        <v>247500</v>
      </c>
      <c r="IU25" s="458">
        <v>247500</v>
      </c>
      <c r="IV25" s="458">
        <f t="shared" si="30"/>
        <v>18199430.054699998</v>
      </c>
      <c r="IW25" s="458">
        <f t="shared" si="30"/>
        <v>15399548.493953267</v>
      </c>
      <c r="IX25" s="314"/>
      <c r="IY25" s="315"/>
      <c r="IZ25" s="314"/>
      <c r="JA25" s="561">
        <v>20</v>
      </c>
      <c r="JB25" s="558">
        <v>20</v>
      </c>
      <c r="JC25" s="562">
        <f t="shared" si="8"/>
        <v>1</v>
      </c>
      <c r="JD25" s="563">
        <f t="shared" si="8"/>
        <v>0.98973461188118561</v>
      </c>
      <c r="JE25" s="458">
        <v>6270559.2375621554</v>
      </c>
      <c r="JF25" s="560">
        <f t="shared" si="70"/>
        <v>6206189.5132665634</v>
      </c>
      <c r="JG25" s="458">
        <v>329079.75049999997</v>
      </c>
      <c r="JH25" s="560">
        <f t="shared" si="31"/>
        <v>325701.61913907487</v>
      </c>
      <c r="JI25" s="458">
        <v>2349281.2134378431</v>
      </c>
      <c r="JJ25" s="560">
        <f t="shared" si="32"/>
        <v>2349281.2134378431</v>
      </c>
      <c r="JK25" s="458">
        <v>2518575.8474006681</v>
      </c>
      <c r="JL25" s="560">
        <v>2518575.8474006681</v>
      </c>
      <c r="JM25" s="458">
        <v>434017.47450000001</v>
      </c>
      <c r="JN25" s="560">
        <f>JM25*$ID25</f>
        <v>429562.11667390988</v>
      </c>
      <c r="JO25" s="458">
        <v>127293.87549999999</v>
      </c>
      <c r="JP25" s="560">
        <f t="shared" si="34"/>
        <v>125987.15446284445</v>
      </c>
      <c r="JQ25" s="458">
        <v>929248.59000000008</v>
      </c>
      <c r="JR25" s="560">
        <f t="shared" si="35"/>
        <v>919709.49256478902</v>
      </c>
      <c r="JS25" s="458">
        <v>1309487.1400000001</v>
      </c>
      <c r="JT25" s="560">
        <f t="shared" si="36"/>
        <v>1296044.7462713039</v>
      </c>
      <c r="JU25" s="458">
        <f t="shared" si="37"/>
        <v>14267543.128900668</v>
      </c>
      <c r="JV25" s="458">
        <f t="shared" si="37"/>
        <v>14171051.703217</v>
      </c>
      <c r="JW25" s="564">
        <f t="shared" si="9"/>
        <v>3.8353477920167904</v>
      </c>
      <c r="KA25" s="456">
        <v>20</v>
      </c>
      <c r="KB25" s="553">
        <v>20</v>
      </c>
      <c r="KC25" s="565">
        <f t="shared" si="10"/>
        <v>11</v>
      </c>
      <c r="KD25" s="566">
        <f t="shared" si="124"/>
        <v>11</v>
      </c>
      <c r="KE25" s="567">
        <f t="shared" si="12"/>
        <v>369485441</v>
      </c>
      <c r="KF25" s="567">
        <f t="shared" si="13"/>
        <v>385282132.62196499</v>
      </c>
      <c r="KG25" s="568">
        <f t="shared" si="38"/>
        <v>1</v>
      </c>
      <c r="KH25" s="568">
        <f t="shared" si="39"/>
        <v>1.0427532180407753</v>
      </c>
      <c r="KI25" s="568">
        <f t="shared" si="40"/>
        <v>0.96816105274920783</v>
      </c>
      <c r="KJ25" s="553" t="s">
        <v>256</v>
      </c>
      <c r="KK25" s="322"/>
      <c r="KL25" s="323"/>
      <c r="KM25" s="322"/>
      <c r="KN25" s="456">
        <v>20</v>
      </c>
      <c r="KO25" s="553">
        <v>20</v>
      </c>
      <c r="KP25" s="569" t="str">
        <f t="shared" si="14"/>
        <v>Q3</v>
      </c>
      <c r="KQ25" s="570">
        <f t="shared" si="15"/>
        <v>0.96816105274920783</v>
      </c>
      <c r="KR25" s="571">
        <f t="shared" si="41"/>
        <v>66291.493953266647</v>
      </c>
      <c r="KS25" s="571">
        <f t="shared" si="42"/>
        <v>64180.842574112379</v>
      </c>
      <c r="KT25" s="571">
        <f t="shared" si="16"/>
        <v>37694016</v>
      </c>
      <c r="KU25" s="571">
        <f t="shared" si="43"/>
        <v>41953754.539749309</v>
      </c>
      <c r="KV25" s="571">
        <f t="shared" si="17"/>
        <v>15085757</v>
      </c>
      <c r="KW25" s="571">
        <f t="shared" si="18"/>
        <v>23030418.438909981</v>
      </c>
      <c r="KX25" s="571">
        <f t="shared" si="44"/>
        <v>247500</v>
      </c>
      <c r="KY25" s="571">
        <f t="shared" si="45"/>
        <v>832359.07439460629</v>
      </c>
      <c r="KZ25" s="571">
        <f t="shared" si="46"/>
        <v>15399548.493953267</v>
      </c>
      <c r="LA25" s="571">
        <f t="shared" si="46"/>
        <v>23926958.3558787</v>
      </c>
      <c r="LB25" s="326"/>
      <c r="LC25" s="323"/>
      <c r="LD25" s="322"/>
      <c r="LE25" s="374">
        <f t="shared" si="71"/>
        <v>20</v>
      </c>
      <c r="LF25" s="375">
        <v>19</v>
      </c>
      <c r="LG25" s="376">
        <f t="shared" si="72"/>
        <v>1</v>
      </c>
      <c r="LH25" s="376">
        <f t="shared" si="72"/>
        <v>1.0427532180407753</v>
      </c>
      <c r="LI25" s="377">
        <v>106.45762205358784</v>
      </c>
      <c r="LJ25" s="290">
        <f t="shared" si="73"/>
        <v>4323261.0757606989</v>
      </c>
      <c r="LK25" s="377">
        <v>106.45762205358784</v>
      </c>
      <c r="LL25" s="290">
        <f t="shared" si="47"/>
        <v>210056.03145536743</v>
      </c>
      <c r="LM25" s="377">
        <v>106.45762205358784</v>
      </c>
      <c r="LN25" s="290">
        <f t="shared" si="48"/>
        <v>1440891.1269047759</v>
      </c>
      <c r="LO25" s="377">
        <v>118.614283549666</v>
      </c>
      <c r="LP25" s="290">
        <f t="shared" si="74"/>
        <v>2298651.595409513</v>
      </c>
      <c r="LQ25" s="377">
        <v>119.48337591187899</v>
      </c>
      <c r="LR25" s="290">
        <f t="shared" si="49"/>
        <v>114341.37067940136</v>
      </c>
      <c r="LS25" s="377">
        <v>157.07111615098</v>
      </c>
      <c r="LT25" s="290">
        <f t="shared" si="50"/>
        <v>92166.232118970234</v>
      </c>
      <c r="LU25" s="377">
        <v>112.15574935818501</v>
      </c>
      <c r="LV25" s="290">
        <f t="shared" si="51"/>
        <v>1029290.4336121964</v>
      </c>
      <c r="LW25" s="377">
        <v>116.939890710382</v>
      </c>
      <c r="LX25" s="378">
        <f t="shared" si="52"/>
        <v>1387932.8490253449</v>
      </c>
      <c r="LY25" s="379">
        <f t="shared" si="53"/>
        <v>11177146.018450504</v>
      </c>
      <c r="LZ25" s="379">
        <f t="shared" si="75"/>
        <v>10896590.714966267</v>
      </c>
      <c r="MA25" s="103"/>
      <c r="MB25" s="335"/>
      <c r="MD25" s="338">
        <v>20</v>
      </c>
      <c r="ME25" s="380">
        <v>20</v>
      </c>
      <c r="MF25" s="20">
        <f t="shared" si="19"/>
        <v>18199430.054699998</v>
      </c>
      <c r="MG25" s="20">
        <f t="shared" si="19"/>
        <v>15399548.493953267</v>
      </c>
      <c r="MH25" s="343">
        <f t="shared" si="20"/>
        <v>23926958.3558787</v>
      </c>
      <c r="MI25" s="20">
        <f t="shared" si="21"/>
        <v>14267543.128900668</v>
      </c>
      <c r="MJ25" s="20">
        <f t="shared" si="21"/>
        <v>14171051.703217</v>
      </c>
      <c r="MK25" s="343">
        <f t="shared" si="54"/>
        <v>13719860.335550025</v>
      </c>
      <c r="ML25" s="20">
        <f t="shared" si="55"/>
        <v>3931886.9257993307</v>
      </c>
      <c r="MM25" s="20">
        <f t="shared" si="55"/>
        <v>1228496.7907362673</v>
      </c>
      <c r="MN25" s="20">
        <f t="shared" si="55"/>
        <v>10207098.020328674</v>
      </c>
      <c r="MX25" s="483">
        <f>MX24+1</f>
        <v>19</v>
      </c>
      <c r="MY25" s="572" t="s">
        <v>254</v>
      </c>
      <c r="MZ25" s="31">
        <f>MZ21+MZ23-MZ10</f>
        <v>113162003.07033257</v>
      </c>
      <c r="NA25" s="573">
        <f>MZ25/$MZ$34*100</f>
        <v>5.1371628933547182</v>
      </c>
      <c r="NB25" s="572"/>
      <c r="NC25" s="574">
        <f>NC21+NC23-NC10</f>
        <v>113162003.07033257</v>
      </c>
      <c r="ND25" s="573">
        <f>NC25/$ND$34*100</f>
        <v>5.1371628933547182</v>
      </c>
      <c r="NH25" s="483">
        <f>NH24+1</f>
        <v>19</v>
      </c>
      <c r="NI25" s="31" t="str">
        <f>MY25</f>
        <v>Revenue Requirement</v>
      </c>
      <c r="NJ25" s="31">
        <v>137621699.16939428</v>
      </c>
      <c r="NK25" s="31">
        <f>MZ25</f>
        <v>113162003.07033257</v>
      </c>
      <c r="NL25" s="31">
        <f t="shared" si="77"/>
        <v>-24459696.099061713</v>
      </c>
      <c r="NM25" s="575">
        <f t="shared" si="78"/>
        <v>-0.17773139153699177</v>
      </c>
    </row>
    <row r="26" spans="2:377" ht="17.25" thickBot="1" x14ac:dyDescent="0.35">
      <c r="AL26" s="464"/>
      <c r="AN26" s="576"/>
      <c r="AO26" s="577"/>
      <c r="AQ26" s="91"/>
      <c r="AS26" s="578"/>
      <c r="AT26" s="578"/>
      <c r="AU26" s="91"/>
      <c r="AV26" s="578"/>
      <c r="AW26" s="578"/>
      <c r="AX26" s="578"/>
      <c r="AY26" s="91"/>
      <c r="AZ26" s="578"/>
      <c r="BA26" s="578"/>
      <c r="BB26" s="578"/>
      <c r="BC26" s="91"/>
      <c r="BD26" s="578"/>
      <c r="BE26" s="578"/>
      <c r="BF26" s="578"/>
      <c r="BG26" s="91"/>
      <c r="BH26" s="578"/>
      <c r="BI26" s="578"/>
      <c r="BJ26" s="578"/>
      <c r="BK26" s="91"/>
      <c r="BL26" s="578"/>
      <c r="BM26" s="578"/>
      <c r="BN26" s="578"/>
      <c r="BO26" s="91"/>
      <c r="BP26" s="578"/>
      <c r="BQ26" s="578"/>
      <c r="BR26" s="578"/>
      <c r="BS26" s="91"/>
      <c r="BT26" s="578"/>
      <c r="BU26" s="578"/>
      <c r="BV26" s="578"/>
      <c r="BW26" s="578"/>
      <c r="BX26" s="578"/>
      <c r="BY26" s="578"/>
      <c r="BZ26" s="578"/>
      <c r="CA26" s="578"/>
      <c r="CB26" s="578"/>
      <c r="CC26" s="578"/>
      <c r="CD26" s="578"/>
      <c r="CE26" s="578"/>
      <c r="CF26" s="578"/>
      <c r="CG26" s="578"/>
      <c r="DX26" s="475"/>
      <c r="EC26" s="579"/>
      <c r="FG26" s="283">
        <f t="shared" si="84"/>
        <v>21</v>
      </c>
      <c r="FH26" s="406"/>
      <c r="FI26" s="407" t="s">
        <v>255</v>
      </c>
      <c r="FJ26" s="17">
        <v>1612.63</v>
      </c>
      <c r="FK26" s="17">
        <v>54550.04</v>
      </c>
      <c r="FL26" s="17">
        <v>0</v>
      </c>
      <c r="FM26" s="290">
        <f t="shared" ref="FM26:FM31" si="126">FJ26+FL26+FK26</f>
        <v>56162.67</v>
      </c>
      <c r="FN26" s="17">
        <v>1612.63</v>
      </c>
      <c r="FO26" s="17">
        <v>54550.04</v>
      </c>
      <c r="FP26" s="17">
        <v>0</v>
      </c>
      <c r="FQ26" s="17">
        <v>56162.67</v>
      </c>
      <c r="FR26" s="17">
        <v>56162.67</v>
      </c>
      <c r="FS26" s="103"/>
      <c r="FT26" s="408"/>
      <c r="HW26" s="467">
        <v>21</v>
      </c>
      <c r="HX26" s="580" t="s">
        <v>72</v>
      </c>
      <c r="HY26" s="580">
        <f>SUM(HY6:HY25)</f>
        <v>205</v>
      </c>
      <c r="HZ26" s="580">
        <f>SUM(HZ6:HZ25)</f>
        <v>221</v>
      </c>
      <c r="IA26" s="581">
        <f>SUM(IA6:IA25)</f>
        <v>2083394612.0181818</v>
      </c>
      <c r="IB26" s="581">
        <f>SUM(IB6:IB25)</f>
        <v>2112495296</v>
      </c>
      <c r="IC26" s="582">
        <f t="shared" si="5"/>
        <v>1.0780487804878049</v>
      </c>
      <c r="ID26" s="582">
        <f t="shared" si="6"/>
        <v>1.013967917462179</v>
      </c>
      <c r="IE26" s="581"/>
      <c r="IF26" s="581"/>
      <c r="IG26" s="581"/>
      <c r="IH26" s="280"/>
      <c r="IJ26" s="493"/>
      <c r="IK26" s="583">
        <v>21</v>
      </c>
      <c r="IL26" s="584" t="s">
        <v>72</v>
      </c>
      <c r="IM26" s="585">
        <f t="shared" si="7"/>
        <v>1.013967917462179</v>
      </c>
      <c r="IN26" s="31">
        <f t="shared" ref="IN26:IU26" si="127">SUM(IN6:IN25)</f>
        <v>215937.90000000002</v>
      </c>
      <c r="IO26" s="586">
        <f t="shared" si="127"/>
        <v>214148.01155062864</v>
      </c>
      <c r="IP26" s="31">
        <f t="shared" si="127"/>
        <v>229512596.2469697</v>
      </c>
      <c r="IQ26" s="586">
        <f t="shared" si="127"/>
        <v>229425276</v>
      </c>
      <c r="IR26" s="31">
        <f t="shared" si="127"/>
        <v>97659849.12220636</v>
      </c>
      <c r="IS26" s="586">
        <f t="shared" si="127"/>
        <v>94967116</v>
      </c>
      <c r="IT26" s="31">
        <f t="shared" si="127"/>
        <v>4550161.0413039103</v>
      </c>
      <c r="IU26" s="586">
        <f t="shared" si="127"/>
        <v>4747991.9641978256</v>
      </c>
      <c r="IV26" s="31">
        <f>SUM(IN26,IR26,IT26)</f>
        <v>102425948.06351027</v>
      </c>
      <c r="IW26" s="31">
        <f>SUM(IO26,IS26,IU26)</f>
        <v>99929255.975748464</v>
      </c>
      <c r="IX26" s="587"/>
      <c r="IY26" s="588"/>
      <c r="IZ26" s="587"/>
      <c r="JA26" s="316">
        <v>21</v>
      </c>
      <c r="JB26" s="589" t="s">
        <v>72</v>
      </c>
      <c r="JC26" s="590">
        <f>IC26</f>
        <v>1.0780487804878049</v>
      </c>
      <c r="JD26" s="591">
        <f t="shared" ref="JD26" si="128">ID26</f>
        <v>1.013967917462179</v>
      </c>
      <c r="JE26" s="592">
        <f t="shared" ref="JE26:JT26" si="129">SUM(JE6:JE25)</f>
        <v>36384668.568564296</v>
      </c>
      <c r="JF26" s="593">
        <f t="shared" si="129"/>
        <v>36992330.313946411</v>
      </c>
      <c r="JG26" s="592">
        <f t="shared" si="129"/>
        <v>2147299.9196500001</v>
      </c>
      <c r="JH26" s="593">
        <f t="shared" si="129"/>
        <v>2193064.0614437284</v>
      </c>
      <c r="JI26" s="592">
        <f t="shared" si="129"/>
        <v>17229598.204603888</v>
      </c>
      <c r="JJ26" s="593">
        <f t="shared" si="129"/>
        <v>17704130.732731506</v>
      </c>
      <c r="JK26" s="592">
        <f t="shared" si="129"/>
        <v>20963340.954979222</v>
      </c>
      <c r="JL26" s="593">
        <f t="shared" si="129"/>
        <v>21765718.436968524</v>
      </c>
      <c r="JM26" s="592">
        <f t="shared" si="129"/>
        <v>2093939.2539242425</v>
      </c>
      <c r="JN26" s="593">
        <f t="shared" si="129"/>
        <v>2144213.8135649599</v>
      </c>
      <c r="JO26" s="592">
        <f t="shared" si="129"/>
        <v>1282057.8355257579</v>
      </c>
      <c r="JP26" s="593">
        <f t="shared" si="129"/>
        <v>1322857.4076787899</v>
      </c>
      <c r="JQ26" s="592">
        <f t="shared" si="129"/>
        <v>4946746.7976090908</v>
      </c>
      <c r="JR26" s="593">
        <f t="shared" si="129"/>
        <v>4997847.5990450596</v>
      </c>
      <c r="JS26" s="592">
        <f t="shared" si="129"/>
        <v>9669260.545699697</v>
      </c>
      <c r="JT26" s="593">
        <f t="shared" si="129"/>
        <v>9826395.2532786801</v>
      </c>
      <c r="JU26" s="592">
        <f t="shared" si="37"/>
        <v>94716912.080556184</v>
      </c>
      <c r="JV26" s="592">
        <f>JF26+JH26+JJ26+JL26+JR26+JT26+JN26+JP26</f>
        <v>96946557.618657649</v>
      </c>
      <c r="JW26" s="594">
        <f t="shared" si="9"/>
        <v>4.5891963784357532</v>
      </c>
      <c r="JX26" s="280"/>
      <c r="JY26" s="595"/>
      <c r="KA26" s="467">
        <v>21</v>
      </c>
      <c r="KB26" s="580" t="s">
        <v>72</v>
      </c>
      <c r="KC26" s="526">
        <f>SUM(KC6:KC25)</f>
        <v>221</v>
      </c>
      <c r="KD26" s="526">
        <f>SUM(KD6:KD25)</f>
        <v>221</v>
      </c>
      <c r="KE26" s="596">
        <f>SUM(KE6:KE25)</f>
        <v>2112495296</v>
      </c>
      <c r="KF26" s="596">
        <f>'Actuals Phase II'!M28</f>
        <v>2202811268</v>
      </c>
      <c r="KG26" s="597">
        <f t="shared" si="38"/>
        <v>1</v>
      </c>
      <c r="KH26" s="597">
        <f t="shared" si="39"/>
        <v>1.0427532180407753</v>
      </c>
      <c r="KI26" s="597">
        <f>LZ27/LY28</f>
        <v>0.97342388787173983</v>
      </c>
      <c r="KJ26" s="598" t="s">
        <v>256</v>
      </c>
      <c r="KK26" s="599"/>
      <c r="KL26" s="600"/>
      <c r="KM26" s="599"/>
      <c r="KN26" s="283">
        <v>21</v>
      </c>
      <c r="KO26" s="601" t="s">
        <v>72</v>
      </c>
      <c r="KP26" s="602" t="str">
        <f>KJ26</f>
        <v>Q3</v>
      </c>
      <c r="KQ26" s="603">
        <f t="shared" si="15"/>
        <v>0.97342388787173983</v>
      </c>
      <c r="KR26" s="28">
        <f>SUM(KR6:KR25)</f>
        <v>214148.01155062864</v>
      </c>
      <c r="KS26" s="28">
        <f>SUM(KS6:KS25)</f>
        <v>206414.10650998526</v>
      </c>
      <c r="KT26" s="28">
        <f t="shared" si="16"/>
        <v>229425276</v>
      </c>
      <c r="KU26" s="28">
        <v>239866309.41368827</v>
      </c>
      <c r="KV26" s="28">
        <f>SUM(KV6:KV25)</f>
        <v>94967116</v>
      </c>
      <c r="KW26" s="28">
        <v>131674066.73842122</v>
      </c>
      <c r="KX26" s="28">
        <f>SUM(KX6:KX25)</f>
        <v>4747991.9641978256</v>
      </c>
      <c r="KY26" s="28">
        <v>4758928.0499999989</v>
      </c>
      <c r="KZ26" s="28">
        <f>SUM(KR26,KV26,KX26)</f>
        <v>99929255.975748464</v>
      </c>
      <c r="LA26" s="28">
        <f>SUM(KS26,KW26,KY26)</f>
        <v>136639408.8949312</v>
      </c>
      <c r="LB26" s="599"/>
      <c r="LC26" s="600"/>
      <c r="LD26" s="599"/>
      <c r="LE26" s="364">
        <f t="shared" si="71"/>
        <v>21</v>
      </c>
      <c r="LF26" s="365">
        <v>20</v>
      </c>
      <c r="LG26" s="411">
        <f t="shared" si="72"/>
        <v>1</v>
      </c>
      <c r="LH26" s="411">
        <f t="shared" si="72"/>
        <v>1.0427532180407753</v>
      </c>
      <c r="LI26" s="412">
        <v>106.45762205358784</v>
      </c>
      <c r="LJ26" s="343">
        <f t="shared" si="73"/>
        <v>5707961.3038340379</v>
      </c>
      <c r="LK26" s="412">
        <v>106.45762205358784</v>
      </c>
      <c r="LL26" s="560">
        <f t="shared" si="47"/>
        <v>299554.53900785209</v>
      </c>
      <c r="LM26" s="412">
        <v>106.45762205358784</v>
      </c>
      <c r="LN26" s="343">
        <f t="shared" si="48"/>
        <v>2072094.0041967786</v>
      </c>
      <c r="LO26" s="412">
        <v>118.614283549666</v>
      </c>
      <c r="LP26" s="560">
        <f t="shared" si="74"/>
        <v>2634488.8491165428</v>
      </c>
      <c r="LQ26" s="412">
        <v>119.48337591187899</v>
      </c>
      <c r="LR26" s="560">
        <f t="shared" si="49"/>
        <v>468302.90570027375</v>
      </c>
      <c r="LS26" s="412">
        <v>157.07111615098</v>
      </c>
      <c r="LT26" s="560">
        <f t="shared" si="50"/>
        <v>119449.30591838453</v>
      </c>
      <c r="LU26" s="412">
        <v>112.15574935818501</v>
      </c>
      <c r="LV26" s="560">
        <f t="shared" si="51"/>
        <v>1008213.196108288</v>
      </c>
      <c r="LW26" s="412">
        <v>116.939890710382</v>
      </c>
      <c r="LX26" s="343">
        <f t="shared" si="52"/>
        <v>1409796.2316678688</v>
      </c>
      <c r="LY26" s="20">
        <f t="shared" si="53"/>
        <v>14171051.703217</v>
      </c>
      <c r="LZ26" s="20">
        <f t="shared" si="75"/>
        <v>13719860.335550025</v>
      </c>
      <c r="MA26" s="103"/>
      <c r="MD26" s="283">
        <v>21</v>
      </c>
      <c r="ME26" s="604" t="s">
        <v>72</v>
      </c>
      <c r="MF26" s="28">
        <f>SUM(MF6:MF25)</f>
        <v>102425948.06351028</v>
      </c>
      <c r="MG26" s="28">
        <f t="shared" ref="MG26:MK26" si="130">SUM(MG6:MG25)</f>
        <v>99929255.975748464</v>
      </c>
      <c r="MH26" s="497">
        <f t="shared" si="130"/>
        <v>136639408.89493123</v>
      </c>
      <c r="MI26" s="28">
        <f t="shared" si="130"/>
        <v>94716912.080556199</v>
      </c>
      <c r="MJ26" s="28">
        <f t="shared" si="130"/>
        <v>96946557.618657649</v>
      </c>
      <c r="MK26" s="497">
        <f t="shared" si="130"/>
        <v>94370095.032935381</v>
      </c>
      <c r="ML26" s="28">
        <f t="shared" si="55"/>
        <v>7709035.9829540849</v>
      </c>
      <c r="MM26" s="28">
        <f t="shared" si="55"/>
        <v>2982698.3570908159</v>
      </c>
      <c r="MN26" s="28">
        <f t="shared" si="55"/>
        <v>42269313.861995846</v>
      </c>
      <c r="MX26" s="338">
        <f>MX25+1</f>
        <v>20</v>
      </c>
      <c r="MY26" s="20" t="s">
        <v>257</v>
      </c>
      <c r="MZ26" s="20">
        <v>0</v>
      </c>
      <c r="NA26" s="414">
        <f>MZ26/$MZ$34*100</f>
        <v>0</v>
      </c>
      <c r="NB26" s="91"/>
      <c r="NC26" s="15">
        <f>MZ26</f>
        <v>0</v>
      </c>
      <c r="ND26" s="414">
        <f>NC26/$MZ$34*100</f>
        <v>0</v>
      </c>
      <c r="NH26" s="338">
        <f>NH25+1</f>
        <v>20</v>
      </c>
      <c r="NI26" s="20" t="s">
        <v>257</v>
      </c>
      <c r="NJ26" s="20">
        <v>0</v>
      </c>
      <c r="NK26" s="20">
        <f>MZ26</f>
        <v>0</v>
      </c>
      <c r="NL26" s="20">
        <f t="shared" si="77"/>
        <v>0</v>
      </c>
      <c r="NM26" s="352">
        <f>IFERROR(NL26/NJ26,0)</f>
        <v>0</v>
      </c>
    </row>
    <row r="27" spans="2:377" ht="17.25" thickBot="1" x14ac:dyDescent="0.35">
      <c r="G27" s="107"/>
      <c r="H27" s="107"/>
      <c r="I27" s="107"/>
      <c r="J27" s="107"/>
      <c r="K27" s="107"/>
      <c r="L27" s="107"/>
      <c r="O27" s="107"/>
      <c r="AL27" s="464"/>
      <c r="AN27" s="438"/>
      <c r="AS27" s="105"/>
      <c r="AT27" s="350"/>
      <c r="AV27" s="105"/>
      <c r="AW27" s="350"/>
      <c r="AX27" s="351"/>
      <c r="AZ27" s="105"/>
      <c r="BA27" s="350"/>
      <c r="BB27" s="351"/>
      <c r="BD27" s="105"/>
      <c r="BE27" s="350"/>
      <c r="BF27" s="351"/>
      <c r="BH27" s="105"/>
      <c r="BI27" s="350"/>
      <c r="BJ27" s="351"/>
      <c r="BL27" s="105"/>
      <c r="BM27" s="350"/>
      <c r="BN27" s="351"/>
      <c r="BP27" s="105"/>
      <c r="BQ27" s="350"/>
      <c r="BR27" s="351"/>
      <c r="BT27" s="105"/>
      <c r="BU27" s="350"/>
      <c r="BV27" s="351"/>
      <c r="BW27" s="351"/>
      <c r="BX27" s="351"/>
      <c r="BY27" s="351"/>
      <c r="BZ27" s="351"/>
      <c r="CA27" s="351"/>
      <c r="CB27" s="351"/>
      <c r="CC27" s="105"/>
      <c r="CE27" s="351"/>
      <c r="CF27" s="351"/>
      <c r="CG27" s="351"/>
      <c r="EA27" s="579"/>
      <c r="FG27" s="338">
        <f t="shared" si="84"/>
        <v>22</v>
      </c>
      <c r="FH27" s="360"/>
      <c r="FI27" s="361" t="s">
        <v>258</v>
      </c>
      <c r="FJ27" s="20">
        <v>0</v>
      </c>
      <c r="FK27" s="20">
        <v>0</v>
      </c>
      <c r="FL27" s="20">
        <v>8076.07</v>
      </c>
      <c r="FM27" s="343">
        <f t="shared" si="126"/>
        <v>8076.07</v>
      </c>
      <c r="FN27" s="20">
        <v>0</v>
      </c>
      <c r="FO27" s="20">
        <v>0</v>
      </c>
      <c r="FP27" s="20">
        <v>8076.07</v>
      </c>
      <c r="FQ27" s="20">
        <v>8076.07</v>
      </c>
      <c r="FR27" s="20">
        <v>8076.07</v>
      </c>
      <c r="FS27" s="103"/>
      <c r="FT27" s="408"/>
      <c r="HW27" s="605"/>
      <c r="IJ27" s="475"/>
      <c r="IK27" s="606">
        <v>22</v>
      </c>
      <c r="IL27" s="607" t="s">
        <v>259</v>
      </c>
      <c r="IM27" s="608"/>
      <c r="IN27" s="609"/>
      <c r="IO27" s="610">
        <f>IO26/IN26</f>
        <v>0.99171109634125654</v>
      </c>
      <c r="IP27" s="609"/>
      <c r="IQ27" s="610">
        <f>IQ26/IP26</f>
        <v>0.99961954050279778</v>
      </c>
      <c r="IR27" s="609"/>
      <c r="IS27" s="610">
        <f>IS26/IR26</f>
        <v>0.97242742901602464</v>
      </c>
      <c r="IT27" s="609"/>
      <c r="IU27" s="610">
        <f>IU26/IT26</f>
        <v>1.043477784873571</v>
      </c>
      <c r="IV27" s="609"/>
      <c r="IW27" s="611">
        <f>IW26/IV26</f>
        <v>0.97562441807994094</v>
      </c>
      <c r="IX27" s="612"/>
      <c r="IY27" s="613"/>
      <c r="IZ27" s="612"/>
      <c r="JA27" s="614">
        <v>22</v>
      </c>
      <c r="JB27" s="609" t="s">
        <v>259</v>
      </c>
      <c r="JC27" s="615"/>
      <c r="JD27" s="615"/>
      <c r="JE27" s="616"/>
      <c r="JF27" s="617">
        <f>JF26/JE26</f>
        <v>1.0167010383573241</v>
      </c>
      <c r="JG27" s="616"/>
      <c r="JH27" s="617">
        <f>JH26/JG26</f>
        <v>1.0213124125674944</v>
      </c>
      <c r="JI27" s="616"/>
      <c r="JJ27" s="617">
        <f>JJ26/JI26</f>
        <v>1.0275417059929359</v>
      </c>
      <c r="JK27" s="616"/>
      <c r="JL27" s="617">
        <f>JL26/JK26</f>
        <v>1.038275267463926</v>
      </c>
      <c r="JM27" s="618"/>
      <c r="JN27" s="617">
        <f>JN26/JM26</f>
        <v>1.0240095597551353</v>
      </c>
      <c r="JO27" s="618"/>
      <c r="JP27" s="617">
        <f>JP26/JO26</f>
        <v>1.0318235036068404</v>
      </c>
      <c r="JQ27" s="616"/>
      <c r="JR27" s="617">
        <f>JR26/JQ26</f>
        <v>1.0103301833561944</v>
      </c>
      <c r="JS27" s="616"/>
      <c r="JT27" s="617">
        <f>JT26/JS26</f>
        <v>1.0162509539210698</v>
      </c>
      <c r="JU27" s="618"/>
      <c r="JV27" s="619">
        <f>JV26/JU26</f>
        <v>1.0235400995358164</v>
      </c>
      <c r="JW27" s="619"/>
      <c r="JX27" s="351"/>
      <c r="JY27" s="464"/>
      <c r="KE27" s="350"/>
      <c r="KL27" s="620"/>
      <c r="KM27" s="621"/>
      <c r="KN27" s="549">
        <v>22</v>
      </c>
      <c r="KO27" s="622" t="s">
        <v>260</v>
      </c>
      <c r="KP27" s="622"/>
      <c r="KQ27" s="622"/>
      <c r="KR27" s="618"/>
      <c r="KS27" s="623">
        <f>KS26/KR26</f>
        <v>0.9638852353349312</v>
      </c>
      <c r="KT27" s="616"/>
      <c r="KU27" s="623">
        <f>KU26/KT26</f>
        <v>1.045509516630976</v>
      </c>
      <c r="KV27" s="616"/>
      <c r="KW27" s="623">
        <f>KW26/KV26</f>
        <v>1.386522748973668</v>
      </c>
      <c r="KX27" s="624"/>
      <c r="KY27" s="624">
        <f>KY26/KX26</f>
        <v>1.0023033075634156</v>
      </c>
      <c r="KZ27" s="616"/>
      <c r="LA27" s="624">
        <f>LA26/KZ26</f>
        <v>1.3673614154406575</v>
      </c>
      <c r="LB27" s="621"/>
      <c r="LC27" s="620"/>
      <c r="LD27" s="621"/>
      <c r="LE27" s="625">
        <f t="shared" si="71"/>
        <v>22</v>
      </c>
      <c r="LF27" s="626" t="s">
        <v>72</v>
      </c>
      <c r="LG27" s="627">
        <f t="shared" si="72"/>
        <v>1</v>
      </c>
      <c r="LH27" s="627">
        <f t="shared" si="72"/>
        <v>1.0427532180407753</v>
      </c>
      <c r="LI27" s="628"/>
      <c r="LJ27" s="629">
        <f>SUM(LJ7:LJ26)</f>
        <v>34044203.143779494</v>
      </c>
      <c r="LK27" s="630"/>
      <c r="LL27" s="631">
        <f>SUM(LL7:LL26)</f>
        <v>2039224.3304643496</v>
      </c>
      <c r="LM27" s="632"/>
      <c r="LN27" s="629">
        <f>SUM(LN7:LN26)</f>
        <v>15711197.861928774</v>
      </c>
      <c r="LO27" s="633"/>
      <c r="LP27" s="631">
        <f>SUM(LP7:LP26)</f>
        <v>22755368.059679482</v>
      </c>
      <c r="LQ27" s="634"/>
      <c r="LR27" s="631">
        <f>SUM(LR7:LR26)</f>
        <v>2337324.5107462648</v>
      </c>
      <c r="LS27" s="634"/>
      <c r="LT27" s="631">
        <f>SUM(LT7:LT26)</f>
        <v>1257269.6392084113</v>
      </c>
      <c r="LU27" s="634"/>
      <c r="LV27" s="631">
        <f>SUM(LV7:LV26)</f>
        <v>5523337.3627051758</v>
      </c>
      <c r="LW27" s="634"/>
      <c r="LX27" s="629">
        <f>SUM(LX7:LX26)</f>
        <v>10702170.12442342</v>
      </c>
      <c r="LY27" s="631"/>
      <c r="LZ27" s="631">
        <f>LJ27+LL27+LN27+LP27+LV27+LX27+LR27+LT27</f>
        <v>94370095.032935366</v>
      </c>
      <c r="MA27" s="103"/>
      <c r="MB27" s="635"/>
      <c r="MD27" s="475"/>
      <c r="MF27" s="636" t="s">
        <v>261</v>
      </c>
      <c r="MG27" s="637"/>
      <c r="MH27" s="305"/>
      <c r="MI27" s="305"/>
      <c r="MJ27" s="305"/>
      <c r="MK27" s="305"/>
      <c r="ML27" s="305"/>
      <c r="MM27" s="305"/>
      <c r="MN27" s="305">
        <f>MN26-MM26</f>
        <v>39286615.50490503</v>
      </c>
      <c r="MX27" s="483">
        <f>MX26+1</f>
        <v>21</v>
      </c>
      <c r="MY27" s="32" t="s">
        <v>262</v>
      </c>
      <c r="MZ27" s="32">
        <v>0</v>
      </c>
      <c r="NA27" s="638">
        <f>MZ27/$MZ$34*100</f>
        <v>0</v>
      </c>
      <c r="NB27" s="382"/>
      <c r="NC27" s="26">
        <f>MZ27</f>
        <v>0</v>
      </c>
      <c r="ND27" s="638">
        <f>NC27/$MZ$34*100</f>
        <v>0</v>
      </c>
      <c r="NH27" s="483">
        <f>NH26+1</f>
        <v>21</v>
      </c>
      <c r="NI27" s="32" t="s">
        <v>262</v>
      </c>
      <c r="NJ27" s="32">
        <v>0</v>
      </c>
      <c r="NK27" s="32">
        <v>0</v>
      </c>
      <c r="NL27" s="32">
        <f t="shared" si="77"/>
        <v>0</v>
      </c>
      <c r="NM27" s="575">
        <f>IFERROR(NL27/NJ27,0)</f>
        <v>0</v>
      </c>
    </row>
    <row r="28" spans="2:377" ht="17.25" thickBot="1" x14ac:dyDescent="0.35">
      <c r="AL28" s="464"/>
      <c r="AN28" s="438"/>
      <c r="AS28" s="105"/>
      <c r="AT28" s="350"/>
      <c r="AV28" s="105"/>
      <c r="AW28" s="350"/>
      <c r="AX28" s="351"/>
      <c r="AZ28" s="105"/>
      <c r="BA28" s="350"/>
      <c r="BB28" s="351"/>
      <c r="BD28" s="105"/>
      <c r="BE28" s="350"/>
      <c r="BF28" s="351"/>
      <c r="BH28" s="105"/>
      <c r="BI28" s="350"/>
      <c r="BJ28" s="351"/>
      <c r="BL28" s="105"/>
      <c r="BM28" s="350"/>
      <c r="BN28" s="351"/>
      <c r="BP28" s="105"/>
      <c r="BQ28" s="350"/>
      <c r="BR28" s="351"/>
      <c r="BT28" s="105"/>
      <c r="BU28" s="350"/>
      <c r="BV28" s="351"/>
      <c r="BW28" s="351"/>
      <c r="BX28" s="351"/>
      <c r="BY28" s="351"/>
      <c r="BZ28" s="351"/>
      <c r="CA28" s="351"/>
      <c r="CB28" s="351"/>
      <c r="CC28" s="105"/>
      <c r="CE28" s="351"/>
      <c r="CF28" s="351"/>
      <c r="CG28" s="351"/>
      <c r="FG28" s="283">
        <f t="shared" si="84"/>
        <v>23</v>
      </c>
      <c r="FH28" s="406"/>
      <c r="FI28" s="407" t="s">
        <v>263</v>
      </c>
      <c r="FJ28" s="17">
        <v>78564</v>
      </c>
      <c r="FK28" s="17">
        <v>249993.75</v>
      </c>
      <c r="FL28" s="17">
        <v>20068</v>
      </c>
      <c r="FM28" s="290">
        <f t="shared" si="126"/>
        <v>348625.75</v>
      </c>
      <c r="FN28" s="17">
        <v>0</v>
      </c>
      <c r="FO28" s="17">
        <v>0</v>
      </c>
      <c r="FP28" s="17">
        <v>0</v>
      </c>
      <c r="FQ28" s="17">
        <v>0</v>
      </c>
      <c r="FR28" s="17">
        <v>0</v>
      </c>
      <c r="FS28" s="103"/>
      <c r="FT28" s="408"/>
      <c r="II28" s="595"/>
      <c r="IQ28" s="537"/>
      <c r="IS28" s="537"/>
      <c r="IT28" s="537"/>
      <c r="IU28" s="537"/>
      <c r="IW28" s="537"/>
      <c r="JU28" s="639"/>
      <c r="KL28" s="640"/>
      <c r="KM28" s="641"/>
      <c r="KU28" s="537"/>
      <c r="KZ28" s="641"/>
      <c r="LA28" s="641"/>
      <c r="LB28" s="641"/>
      <c r="LC28" s="640"/>
      <c r="LD28" s="641"/>
      <c r="LE28" s="642">
        <f t="shared" si="71"/>
        <v>23</v>
      </c>
      <c r="LF28" s="622" t="s">
        <v>260</v>
      </c>
      <c r="LG28" s="643"/>
      <c r="LH28" s="644"/>
      <c r="LI28" s="645">
        <f>JF26</f>
        <v>36992330.313946411</v>
      </c>
      <c r="LJ28" s="623">
        <f>LJ27/LI28</f>
        <v>0.92030436727973719</v>
      </c>
      <c r="LK28" s="645">
        <f>JH26</f>
        <v>2193064.0614437284</v>
      </c>
      <c r="LL28" s="623">
        <f>LL27/LK28</f>
        <v>0.92985169303348858</v>
      </c>
      <c r="LM28" s="645">
        <f>JJ26</f>
        <v>17704130.732731506</v>
      </c>
      <c r="LN28" s="623">
        <f>LN27/LM28</f>
        <v>0.8874311932684622</v>
      </c>
      <c r="LO28" s="623"/>
      <c r="LP28" s="623">
        <f>LP27/JL26</f>
        <v>1.0454682727600695</v>
      </c>
      <c r="LQ28" s="645">
        <f>JN26</f>
        <v>2144213.8135649599</v>
      </c>
      <c r="LR28" s="623">
        <f>LR27/LQ28</f>
        <v>1.0900613063676892</v>
      </c>
      <c r="LS28" s="645">
        <f>JP26</f>
        <v>1322857.4076787899</v>
      </c>
      <c r="LT28" s="623">
        <f>LT27/LS28</f>
        <v>0.95041962339276986</v>
      </c>
      <c r="LU28" s="645">
        <f>JR26</f>
        <v>4997847.5990450596</v>
      </c>
      <c r="LV28" s="623">
        <f>LV27/LU28</f>
        <v>1.1051432148032128</v>
      </c>
      <c r="LW28" s="645">
        <f>JT26</f>
        <v>9826395.2532786801</v>
      </c>
      <c r="LX28" s="623">
        <f>LX27/LW28</f>
        <v>1.0891247348159061</v>
      </c>
      <c r="LY28" s="645">
        <f>JV26</f>
        <v>96946557.618657649</v>
      </c>
      <c r="LZ28" s="624">
        <f>LZ27/LY28</f>
        <v>0.97342388787173983</v>
      </c>
      <c r="MA28" s="646"/>
      <c r="MX28" s="338">
        <f t="shared" ref="MX28:MX31" si="131">MX27+1</f>
        <v>22</v>
      </c>
      <c r="MY28" s="647" t="s">
        <v>264</v>
      </c>
      <c r="MZ28" s="648">
        <f>SUM(MZ25:MZ27)</f>
        <v>113162003.07033257</v>
      </c>
      <c r="NA28" s="649">
        <f>MZ28/$MZ$34*100</f>
        <v>5.1371628933547182</v>
      </c>
      <c r="NB28" s="474"/>
      <c r="NC28" s="650">
        <f>SUM(NC25:NC27)</f>
        <v>113162003.07033257</v>
      </c>
      <c r="ND28" s="649">
        <f>NC28/$MZ$34*100</f>
        <v>5.1371628933547182</v>
      </c>
      <c r="NH28" s="338">
        <f t="shared" ref="NH28:NH32" si="132">NH27+1</f>
        <v>22</v>
      </c>
      <c r="NI28" s="647" t="s">
        <v>264</v>
      </c>
      <c r="NJ28" s="33">
        <v>137621699.16939428</v>
      </c>
      <c r="NK28" s="648">
        <f>NK25+NK26+NK27</f>
        <v>113162003.07033257</v>
      </c>
      <c r="NL28" s="479">
        <f t="shared" si="77"/>
        <v>-24459696.099061713</v>
      </c>
      <c r="NM28" s="352">
        <f t="shared" si="78"/>
        <v>-0.17773139153699177</v>
      </c>
    </row>
    <row r="29" spans="2:377" x14ac:dyDescent="0.3">
      <c r="AL29" s="464"/>
      <c r="AN29" s="438"/>
      <c r="AS29" s="105"/>
      <c r="AT29" s="350"/>
      <c r="AV29" s="105"/>
      <c r="AW29" s="350"/>
      <c r="AX29" s="351"/>
      <c r="AZ29" s="105"/>
      <c r="BA29" s="350"/>
      <c r="BB29" s="351"/>
      <c r="BD29" s="105"/>
      <c r="BE29" s="350"/>
      <c r="BF29" s="351"/>
      <c r="BH29" s="105"/>
      <c r="BI29" s="350"/>
      <c r="BJ29" s="351"/>
      <c r="BL29" s="105"/>
      <c r="BM29" s="350"/>
      <c r="BN29" s="351"/>
      <c r="BP29" s="105"/>
      <c r="BQ29" s="350"/>
      <c r="BR29" s="351"/>
      <c r="BT29" s="105"/>
      <c r="BU29" s="350"/>
      <c r="BV29" s="351"/>
      <c r="BW29" s="351"/>
      <c r="BX29" s="351"/>
      <c r="BY29" s="351"/>
      <c r="BZ29" s="351"/>
      <c r="CA29" s="351"/>
      <c r="CB29" s="351"/>
      <c r="CC29" s="105"/>
      <c r="CE29" s="351"/>
      <c r="CF29" s="351"/>
      <c r="CG29" s="351"/>
      <c r="FG29" s="338">
        <f t="shared" si="84"/>
        <v>24</v>
      </c>
      <c r="FH29" s="360"/>
      <c r="FI29" s="361" t="s">
        <v>265</v>
      </c>
      <c r="FJ29" s="20">
        <v>28.81</v>
      </c>
      <c r="FK29" s="20">
        <v>30975.599999999999</v>
      </c>
      <c r="FL29" s="20">
        <v>53054.5</v>
      </c>
      <c r="FM29" s="343">
        <f t="shared" si="126"/>
        <v>84058.91</v>
      </c>
      <c r="FN29" s="20">
        <v>28.81</v>
      </c>
      <c r="FO29" s="20">
        <v>30975.599999999999</v>
      </c>
      <c r="FP29" s="20">
        <v>53054.5</v>
      </c>
      <c r="FQ29" s="20">
        <v>84058.91</v>
      </c>
      <c r="FR29" s="20">
        <v>84058.91</v>
      </c>
      <c r="FS29" s="103"/>
      <c r="FT29" s="408"/>
      <c r="JX29" s="351"/>
      <c r="JY29" s="464"/>
      <c r="KL29" s="640"/>
      <c r="KM29" s="641"/>
      <c r="KN29" s="641"/>
      <c r="KO29" s="641"/>
      <c r="KP29" s="641"/>
      <c r="KQ29" s="641"/>
      <c r="KR29" s="641"/>
      <c r="KT29" s="641"/>
      <c r="KU29" s="651"/>
      <c r="KV29" s="641"/>
      <c r="KW29" s="651"/>
      <c r="KX29" s="651"/>
      <c r="KY29" s="651"/>
      <c r="KZ29" s="641"/>
      <c r="LA29" s="641"/>
      <c r="LB29" s="641"/>
      <c r="LC29" s="640"/>
      <c r="LD29" s="641"/>
      <c r="LJ29" s="351"/>
      <c r="LL29" s="351"/>
      <c r="LN29" s="351"/>
      <c r="LO29" s="351"/>
      <c r="LP29" s="351"/>
      <c r="LQ29" s="351"/>
      <c r="LR29" s="351"/>
      <c r="LS29" s="351"/>
      <c r="LT29" s="351"/>
      <c r="LV29" s="351"/>
      <c r="LX29" s="351"/>
      <c r="LZ29" s="351"/>
      <c r="MA29" s="107"/>
      <c r="MX29" s="283">
        <f t="shared" si="131"/>
        <v>23</v>
      </c>
      <c r="MY29" s="444" t="s">
        <v>266</v>
      </c>
      <c r="MZ29" s="652">
        <f>MZ11</f>
        <v>4758928.0499999989</v>
      </c>
      <c r="NA29" s="509">
        <f t="shared" ref="NA29" si="133">MZ29/$MZ$34*100</f>
        <v>0.2160388463202649</v>
      </c>
      <c r="NB29" s="652">
        <f t="shared" ref="NB29:NC29" si="134">NB11</f>
        <v>0</v>
      </c>
      <c r="NC29" s="653">
        <f t="shared" si="134"/>
        <v>4758928.0499999989</v>
      </c>
      <c r="ND29" s="509">
        <f t="shared" ref="ND29" si="135">NC29/$MZ$34*100</f>
        <v>0.2160388463202649</v>
      </c>
      <c r="NH29" s="283">
        <f t="shared" si="132"/>
        <v>23</v>
      </c>
      <c r="NI29" s="444" t="s">
        <v>266</v>
      </c>
      <c r="NJ29" s="34">
        <v>4822773.09</v>
      </c>
      <c r="NK29" s="652">
        <f>MZ29</f>
        <v>4758928.0499999989</v>
      </c>
      <c r="NL29" s="28">
        <f t="shared" si="77"/>
        <v>-63845.040000000969</v>
      </c>
      <c r="NM29" s="395">
        <f t="shared" si="78"/>
        <v>-1.3238242564715183E-2</v>
      </c>
    </row>
    <row r="30" spans="2:377" x14ac:dyDescent="0.3">
      <c r="AL30" s="464"/>
      <c r="AN30" s="438"/>
      <c r="AS30" s="105"/>
      <c r="AT30" s="350"/>
      <c r="AV30" s="105"/>
      <c r="AW30" s="350"/>
      <c r="AX30" s="351"/>
      <c r="AZ30" s="105"/>
      <c r="BA30" s="350"/>
      <c r="BB30" s="351"/>
      <c r="BD30" s="105"/>
      <c r="BE30" s="350"/>
      <c r="BF30" s="351"/>
      <c r="BH30" s="105"/>
      <c r="BI30" s="350"/>
      <c r="BJ30" s="351"/>
      <c r="BL30" s="105"/>
      <c r="BM30" s="350"/>
      <c r="BN30" s="351"/>
      <c r="BP30" s="105"/>
      <c r="BQ30" s="350"/>
      <c r="BR30" s="351"/>
      <c r="BT30" s="105"/>
      <c r="BU30" s="350"/>
      <c r="BV30" s="351"/>
      <c r="BW30" s="351"/>
      <c r="BX30" s="351"/>
      <c r="BY30" s="351"/>
      <c r="BZ30" s="351"/>
      <c r="CA30" s="351"/>
      <c r="CB30" s="351"/>
      <c r="CC30" s="105"/>
      <c r="CE30" s="351"/>
      <c r="CF30" s="351"/>
      <c r="CG30" s="351"/>
      <c r="FG30" s="283">
        <f t="shared" si="84"/>
        <v>25</v>
      </c>
      <c r="FH30" s="406"/>
      <c r="FI30" s="407" t="s">
        <v>267</v>
      </c>
      <c r="FJ30" s="17">
        <v>265316.65460000001</v>
      </c>
      <c r="FK30" s="17">
        <v>40329.020000000004</v>
      </c>
      <c r="FL30" s="17">
        <v>139233.63999999998</v>
      </c>
      <c r="FM30" s="290">
        <f t="shared" si="126"/>
        <v>444879.31460000004</v>
      </c>
      <c r="FN30" s="17">
        <v>266750.55460000003</v>
      </c>
      <c r="FO30" s="17">
        <v>40329.020000000011</v>
      </c>
      <c r="FP30" s="17">
        <v>139233.64000000001</v>
      </c>
      <c r="FQ30" s="17">
        <v>446313.21460000006</v>
      </c>
      <c r="FR30" s="17">
        <v>446313.21460000006</v>
      </c>
      <c r="FS30" s="103"/>
      <c r="FT30" s="408"/>
      <c r="JE30" s="20"/>
      <c r="JF30" s="20"/>
      <c r="JG30" s="20"/>
      <c r="JH30" s="20"/>
      <c r="KL30" s="640"/>
      <c r="KM30" s="641"/>
      <c r="KN30" s="279"/>
      <c r="KO30" s="279"/>
      <c r="KP30" s="279"/>
      <c r="KQ30" s="279"/>
      <c r="KR30" s="279"/>
      <c r="KS30" s="279"/>
      <c r="KT30" s="279"/>
      <c r="KU30" s="279"/>
      <c r="KV30" s="279"/>
      <c r="KW30" s="279"/>
      <c r="KX30" s="279"/>
      <c r="KY30" s="279"/>
      <c r="KZ30" s="279"/>
      <c r="LA30" s="279"/>
      <c r="LB30" s="641"/>
      <c r="LC30" s="640"/>
      <c r="LD30" s="641"/>
      <c r="LE30" s="279"/>
      <c r="LF30" s="279"/>
      <c r="LG30" s="279"/>
      <c r="LH30" s="279"/>
      <c r="LI30" s="279"/>
      <c r="LJ30" s="654"/>
      <c r="LK30" s="654"/>
      <c r="LL30" s="655"/>
      <c r="LM30" s="279"/>
      <c r="LN30" s="655"/>
      <c r="LO30" s="655"/>
      <c r="LP30" s="279"/>
      <c r="LU30" s="103"/>
      <c r="MA30" s="107"/>
      <c r="MX30" s="338">
        <f t="shared" si="131"/>
        <v>24</v>
      </c>
      <c r="MY30" s="647" t="s">
        <v>268</v>
      </c>
      <c r="MZ30" s="648">
        <f>MZ28-MZ29</f>
        <v>108403075.02033257</v>
      </c>
      <c r="NA30" s="649">
        <f>MZ30/$MZ$34*100</f>
        <v>4.9211240470344544</v>
      </c>
      <c r="NB30" s="474"/>
      <c r="NC30" s="650">
        <f>NC28-NC29</f>
        <v>108403075.02033257</v>
      </c>
      <c r="ND30" s="649">
        <f>NC30/$MZ$34*100</f>
        <v>4.9211240470344544</v>
      </c>
      <c r="NH30" s="338">
        <f t="shared" si="132"/>
        <v>24</v>
      </c>
      <c r="NI30" s="647" t="s">
        <v>268</v>
      </c>
      <c r="NJ30" s="33">
        <v>132798926.07939428</v>
      </c>
      <c r="NK30" s="648">
        <f>MZ30</f>
        <v>108403075.02033257</v>
      </c>
      <c r="NL30" s="479">
        <f t="shared" si="77"/>
        <v>-24395851.059061706</v>
      </c>
      <c r="NM30" s="352">
        <f t="shared" si="78"/>
        <v>-0.18370518331207411</v>
      </c>
    </row>
    <row r="31" spans="2:377" x14ac:dyDescent="0.3">
      <c r="P31" s="656"/>
      <c r="Q31" s="656"/>
      <c r="R31" s="656"/>
      <c r="AL31" s="464"/>
      <c r="AN31" s="576"/>
      <c r="AO31" s="577"/>
      <c r="AQ31" s="91"/>
      <c r="AT31" s="578"/>
      <c r="AU31" s="91"/>
      <c r="AW31" s="578"/>
      <c r="AX31" s="578"/>
      <c r="AY31" s="91"/>
      <c r="BA31" s="578"/>
      <c r="BB31" s="578"/>
      <c r="BC31" s="91"/>
      <c r="BE31" s="578"/>
      <c r="BF31" s="578"/>
      <c r="BG31" s="91"/>
      <c r="BI31" s="578"/>
      <c r="BJ31" s="578"/>
      <c r="BK31" s="91"/>
      <c r="BM31" s="578"/>
      <c r="BN31" s="578"/>
      <c r="BO31" s="91"/>
      <c r="BQ31" s="578"/>
      <c r="BR31" s="578"/>
      <c r="BS31" s="91"/>
      <c r="BU31" s="578"/>
      <c r="BV31" s="578"/>
      <c r="BW31" s="578"/>
      <c r="BX31" s="578"/>
      <c r="BY31" s="578"/>
      <c r="BZ31" s="578"/>
      <c r="CA31" s="578"/>
      <c r="CB31" s="578"/>
      <c r="CD31" s="578"/>
      <c r="CE31" s="578"/>
      <c r="CF31" s="578"/>
      <c r="CG31" s="578"/>
      <c r="FG31" s="446">
        <f t="shared" si="84"/>
        <v>26</v>
      </c>
      <c r="FH31" s="657"/>
      <c r="FI31" s="658" t="s">
        <v>239</v>
      </c>
      <c r="FJ31" s="479">
        <f>SUM(FJ26:FJ30)</f>
        <v>345522.09460000001</v>
      </c>
      <c r="FK31" s="479">
        <f>SUM(FK26:FK30)</f>
        <v>375848.41</v>
      </c>
      <c r="FL31" s="479">
        <f>SUM(FL26:FL30)</f>
        <v>220432.21</v>
      </c>
      <c r="FM31" s="501">
        <f t="shared" si="126"/>
        <v>941802.71460000006</v>
      </c>
      <c r="FN31" s="479">
        <v>268391.99460000003</v>
      </c>
      <c r="FO31" s="479">
        <v>125854.66</v>
      </c>
      <c r="FP31" s="479">
        <v>200364.21000000002</v>
      </c>
      <c r="FQ31" s="479">
        <v>594610.86460000009</v>
      </c>
      <c r="FR31" s="479">
        <v>594610.86460000009</v>
      </c>
      <c r="FS31" s="103"/>
      <c r="FT31" s="408"/>
      <c r="JE31" s="20"/>
      <c r="JF31" s="20"/>
      <c r="JG31" s="20"/>
      <c r="JH31" s="20"/>
      <c r="JI31" s="344"/>
      <c r="JJ31" s="518"/>
      <c r="KN31" s="279"/>
      <c r="KO31" s="279"/>
      <c r="KP31" s="279"/>
      <c r="KQ31" s="279"/>
      <c r="KR31" s="279"/>
      <c r="KS31" s="279"/>
      <c r="KT31" s="279"/>
      <c r="KU31" s="279"/>
      <c r="KV31" s="279"/>
      <c r="KW31" s="279"/>
      <c r="KX31" s="279"/>
      <c r="KY31" s="279"/>
      <c r="KZ31" s="279"/>
      <c r="LA31" s="279"/>
      <c r="LL31" s="518"/>
      <c r="LN31" s="518"/>
      <c r="LO31" s="518"/>
      <c r="MA31" s="107"/>
      <c r="MX31" s="283">
        <f t="shared" si="131"/>
        <v>25</v>
      </c>
      <c r="MY31" s="32" t="s">
        <v>269</v>
      </c>
      <c r="MZ31" s="32">
        <v>136637688.37609816</v>
      </c>
      <c r="NA31" s="638">
        <f>MZ31/$MZ$34*100</f>
        <v>6.2028776754967172</v>
      </c>
      <c r="NB31" s="97"/>
      <c r="NC31" s="26"/>
      <c r="ND31" s="660"/>
      <c r="NH31" s="483">
        <f>NH30+1</f>
        <v>25</v>
      </c>
      <c r="NI31" s="32" t="str">
        <f>MY31</f>
        <v>Total Revenue at Current Rates</v>
      </c>
      <c r="NJ31" s="32">
        <v>106708111.01526074</v>
      </c>
      <c r="NK31" s="32">
        <f>MZ31</f>
        <v>136637688.37609816</v>
      </c>
      <c r="NL31" s="32">
        <f t="shared" si="77"/>
        <v>29929577.360837415</v>
      </c>
      <c r="NM31" s="575">
        <f t="shared" si="78"/>
        <v>0.28048080952868776</v>
      </c>
    </row>
    <row r="32" spans="2:377" x14ac:dyDescent="0.3">
      <c r="AL32" s="464"/>
      <c r="AN32" s="438"/>
      <c r="AT32" s="661"/>
      <c r="AW32" s="661"/>
      <c r="AX32" s="351"/>
      <c r="BA32" s="661"/>
      <c r="BB32" s="351"/>
      <c r="BE32" s="661"/>
      <c r="BF32" s="351"/>
      <c r="BI32" s="661"/>
      <c r="BJ32" s="351"/>
      <c r="BM32" s="661"/>
      <c r="BN32" s="351"/>
      <c r="BQ32" s="661"/>
      <c r="BR32" s="351"/>
      <c r="BU32" s="661"/>
      <c r="BV32" s="351"/>
      <c r="BW32" s="351"/>
      <c r="BX32" s="351"/>
      <c r="BY32" s="351"/>
      <c r="BZ32" s="351"/>
      <c r="CA32" s="351"/>
      <c r="CB32" s="351"/>
      <c r="CD32" s="661"/>
      <c r="CE32" s="351"/>
      <c r="CF32" s="351"/>
      <c r="CG32" s="351"/>
      <c r="FG32" s="283">
        <f t="shared" si="84"/>
        <v>27</v>
      </c>
      <c r="FH32" s="285" t="s">
        <v>270</v>
      </c>
      <c r="FI32" s="297"/>
      <c r="FJ32" s="662"/>
      <c r="FK32" s="662"/>
      <c r="FL32" s="662"/>
      <c r="FM32" s="663"/>
      <c r="FN32" s="662"/>
      <c r="FO32" s="662"/>
      <c r="FP32" s="662"/>
      <c r="FQ32" s="662"/>
      <c r="FR32" s="662"/>
      <c r="FS32" s="103"/>
      <c r="FT32" s="408"/>
      <c r="JE32" s="20"/>
      <c r="JF32" s="20"/>
      <c r="JG32" s="20"/>
      <c r="JH32" s="20"/>
      <c r="JI32" s="344"/>
      <c r="KM32" s="279"/>
      <c r="KN32" s="279"/>
      <c r="KO32" s="279"/>
      <c r="KP32" s="279"/>
      <c r="KQ32" s="279"/>
      <c r="KR32" s="279"/>
      <c r="KS32" s="279"/>
      <c r="KT32" s="279"/>
      <c r="KU32" s="279"/>
      <c r="KV32" s="279"/>
      <c r="KW32" s="279"/>
      <c r="KX32" s="279"/>
      <c r="KY32" s="279"/>
      <c r="KZ32" s="279"/>
      <c r="LA32" s="279"/>
      <c r="LB32" s="279"/>
      <c r="LC32" s="664"/>
      <c r="LD32" s="279"/>
      <c r="LL32" s="518"/>
      <c r="LN32" s="518"/>
      <c r="LO32" s="518"/>
      <c r="MA32" s="351"/>
      <c r="MX32" s="446">
        <f>MX31+1</f>
        <v>26</v>
      </c>
      <c r="MY32" s="665" t="s">
        <v>271</v>
      </c>
      <c r="MZ32" s="665">
        <f>MZ30/MZ9-1</f>
        <v>-0.17673177638173754</v>
      </c>
      <c r="NA32" s="665"/>
      <c r="NB32" s="453"/>
      <c r="NC32" s="666">
        <f>(NC9)/NC30-1</f>
        <v>0</v>
      </c>
      <c r="ND32" s="665"/>
      <c r="NH32" s="446">
        <f t="shared" si="132"/>
        <v>26</v>
      </c>
      <c r="NI32" s="665" t="str">
        <f>MY32</f>
        <v>Proposed Rate Increase</v>
      </c>
      <c r="NJ32" s="36">
        <v>0.31098299636767157</v>
      </c>
      <c r="NK32" s="665">
        <f>MZ32</f>
        <v>-0.17673177638173754</v>
      </c>
      <c r="NL32" s="665">
        <f t="shared" si="77"/>
        <v>-0.48771477274940911</v>
      </c>
      <c r="NM32" s="667"/>
    </row>
    <row r="33" spans="38:377" x14ac:dyDescent="0.3">
      <c r="AL33" s="464"/>
      <c r="AN33" s="438"/>
      <c r="AT33" s="661"/>
      <c r="AW33" s="661"/>
      <c r="AX33" s="351"/>
      <c r="BA33" s="661"/>
      <c r="BB33" s="351"/>
      <c r="BE33" s="661"/>
      <c r="BF33" s="351"/>
      <c r="BI33" s="661"/>
      <c r="BJ33" s="351"/>
      <c r="BM33" s="661"/>
      <c r="BN33" s="351"/>
      <c r="BQ33" s="661"/>
      <c r="BR33" s="351"/>
      <c r="BU33" s="661"/>
      <c r="BV33" s="351"/>
      <c r="BW33" s="351"/>
      <c r="BX33" s="351"/>
      <c r="BY33" s="351"/>
      <c r="BZ33" s="351"/>
      <c r="CA33" s="351"/>
      <c r="CB33" s="351"/>
      <c r="CD33" s="661"/>
      <c r="CE33" s="351"/>
      <c r="CF33" s="351"/>
      <c r="CG33" s="351"/>
      <c r="EB33" s="668"/>
      <c r="FG33" s="338">
        <f t="shared" si="84"/>
        <v>28</v>
      </c>
      <c r="FH33" s="360"/>
      <c r="FI33" s="361" t="s">
        <v>272</v>
      </c>
      <c r="FJ33" s="20">
        <v>18180.79</v>
      </c>
      <c r="FK33" s="20">
        <v>0</v>
      </c>
      <c r="FL33" s="20">
        <v>511037.56</v>
      </c>
      <c r="FM33" s="343">
        <f>FJ33+FL33+FK33</f>
        <v>529218.35</v>
      </c>
      <c r="FN33" s="20">
        <v>18180.79</v>
      </c>
      <c r="FO33" s="20">
        <v>0</v>
      </c>
      <c r="FP33" s="20">
        <v>511037.56000000006</v>
      </c>
      <c r="FQ33" s="20">
        <v>529218.35000000009</v>
      </c>
      <c r="FR33" s="20">
        <v>529218.35000000009</v>
      </c>
      <c r="FT33" s="408"/>
      <c r="JH33" s="518"/>
      <c r="JJ33" s="518"/>
      <c r="KL33" s="669"/>
      <c r="KM33" s="670"/>
      <c r="KN33" s="279"/>
      <c r="KO33" s="279"/>
      <c r="KP33" s="279"/>
      <c r="KQ33" s="279"/>
      <c r="KR33" s="279"/>
      <c r="KS33" s="279"/>
      <c r="KT33" s="279"/>
      <c r="KU33" s="279"/>
      <c r="KV33" s="279"/>
      <c r="KW33" s="279"/>
      <c r="KX33" s="279"/>
      <c r="KY33" s="279"/>
      <c r="KZ33" s="279"/>
      <c r="LA33" s="279"/>
      <c r="LB33" s="670"/>
      <c r="LC33" s="669"/>
      <c r="LD33" s="670"/>
      <c r="LL33" s="518"/>
      <c r="LN33" s="518"/>
      <c r="LO33" s="518"/>
      <c r="MX33" s="88" t="s">
        <v>241</v>
      </c>
      <c r="MY33" s="88"/>
      <c r="MZ33" s="88"/>
      <c r="NA33" s="88"/>
      <c r="NB33" s="88"/>
      <c r="NC33" s="88"/>
      <c r="ND33" s="88"/>
      <c r="NH33" s="88" t="s">
        <v>241</v>
      </c>
      <c r="NI33" s="461"/>
      <c r="NJ33" s="461"/>
      <c r="NK33" s="461"/>
      <c r="NL33" s="671"/>
      <c r="NM33" s="671"/>
    </row>
    <row r="34" spans="38:377" x14ac:dyDescent="0.3">
      <c r="AL34" s="464"/>
      <c r="AN34" s="438"/>
      <c r="AT34" s="661"/>
      <c r="AW34" s="661"/>
      <c r="AX34" s="351"/>
      <c r="BA34" s="661"/>
      <c r="BB34" s="351"/>
      <c r="BE34" s="661"/>
      <c r="BF34" s="351"/>
      <c r="BI34" s="661"/>
      <c r="BJ34" s="351"/>
      <c r="BM34" s="661"/>
      <c r="BN34" s="351"/>
      <c r="BQ34" s="661"/>
      <c r="BR34" s="351"/>
      <c r="BU34" s="661"/>
      <c r="BV34" s="351"/>
      <c r="BW34" s="351"/>
      <c r="BX34" s="351"/>
      <c r="BY34" s="351"/>
      <c r="BZ34" s="351"/>
      <c r="CA34" s="351"/>
      <c r="CB34" s="351"/>
      <c r="CD34" s="661"/>
      <c r="CE34" s="351"/>
      <c r="CF34" s="351"/>
      <c r="CG34" s="351"/>
      <c r="FG34" s="283">
        <f t="shared" si="84"/>
        <v>29</v>
      </c>
      <c r="FH34" s="406"/>
      <c r="FI34" s="407" t="s">
        <v>273</v>
      </c>
      <c r="FJ34" s="17">
        <v>26603.350000000002</v>
      </c>
      <c r="FK34" s="17">
        <v>172158.89</v>
      </c>
      <c r="FL34" s="17">
        <v>314965.26</v>
      </c>
      <c r="FM34" s="290">
        <f>FJ34+FL34+FK34</f>
        <v>513727.5</v>
      </c>
      <c r="FN34" s="17">
        <v>26603.35</v>
      </c>
      <c r="FO34" s="17">
        <v>172158.88999999998</v>
      </c>
      <c r="FP34" s="17">
        <v>282086.93</v>
      </c>
      <c r="FQ34" s="17">
        <v>480849.16999999993</v>
      </c>
      <c r="FR34" s="17">
        <v>480849.16999999993</v>
      </c>
      <c r="FS34" s="103"/>
      <c r="FT34" s="408"/>
      <c r="JH34" s="518"/>
      <c r="JJ34" s="518"/>
      <c r="KL34" s="143"/>
      <c r="KM34" s="109"/>
      <c r="KN34" s="279"/>
      <c r="KO34" s="279"/>
      <c r="KP34" s="279"/>
      <c r="KQ34" s="279"/>
      <c r="KR34" s="279"/>
      <c r="KS34" s="279"/>
      <c r="KT34" s="279"/>
      <c r="KU34" s="279"/>
      <c r="KV34" s="279"/>
      <c r="KW34" s="279"/>
      <c r="KX34" s="279"/>
      <c r="KY34" s="279"/>
      <c r="KZ34" s="279"/>
      <c r="LA34" s="279"/>
      <c r="LB34" s="109"/>
      <c r="LC34" s="110"/>
      <c r="LD34" s="109"/>
      <c r="LL34" s="518"/>
      <c r="LN34" s="518"/>
      <c r="LO34" s="518"/>
      <c r="MX34" s="283">
        <f>MX32+1</f>
        <v>27</v>
      </c>
      <c r="MY34" s="672" t="s">
        <v>119</v>
      </c>
      <c r="MZ34" s="958">
        <f>KF26</f>
        <v>2202811268</v>
      </c>
      <c r="NA34" s="958"/>
      <c r="NB34" s="37"/>
      <c r="NC34" s="673"/>
      <c r="ND34" s="37">
        <f>MZ34</f>
        <v>2202811268</v>
      </c>
      <c r="NH34" s="283">
        <f>NH32+1</f>
        <v>27</v>
      </c>
      <c r="NI34" s="672" t="str">
        <f>MY34</f>
        <v>Target Year Volume</v>
      </c>
      <c r="NJ34" s="37">
        <v>2182672674</v>
      </c>
      <c r="NK34" s="37">
        <f>MZ34</f>
        <v>2202811268</v>
      </c>
      <c r="NL34" s="903">
        <f t="shared" ref="NL34" si="136">NK34-NJ34</f>
        <v>20138594</v>
      </c>
      <c r="NM34" s="674">
        <f t="shared" ref="NM34:NM35" si="137">NL34/NJ34</f>
        <v>9.2265753999172476E-3</v>
      </c>
    </row>
    <row r="35" spans="38:377" ht="17.25" thickBot="1" x14ac:dyDescent="0.35">
      <c r="AL35" s="464"/>
      <c r="AN35" s="438"/>
      <c r="AT35" s="661"/>
      <c r="AW35" s="661"/>
      <c r="AX35" s="351"/>
      <c r="BA35" s="661"/>
      <c r="BB35" s="351"/>
      <c r="BE35" s="661"/>
      <c r="BF35" s="351"/>
      <c r="BI35" s="661"/>
      <c r="BJ35" s="351"/>
      <c r="BM35" s="661"/>
      <c r="BN35" s="351"/>
      <c r="BQ35" s="661"/>
      <c r="BR35" s="351"/>
      <c r="BU35" s="661"/>
      <c r="BV35" s="351"/>
      <c r="BW35" s="351"/>
      <c r="BX35" s="351"/>
      <c r="BY35" s="351"/>
      <c r="BZ35" s="351"/>
      <c r="CA35" s="351"/>
      <c r="CB35" s="351"/>
      <c r="CD35" s="661"/>
      <c r="CE35" s="351"/>
      <c r="CF35" s="351"/>
      <c r="CG35" s="351"/>
      <c r="FG35" s="456">
        <f t="shared" si="84"/>
        <v>30</v>
      </c>
      <c r="FH35" s="675"/>
      <c r="FI35" s="676" t="s">
        <v>239</v>
      </c>
      <c r="FJ35" s="479">
        <f>SUM(FJ33:FJ34)</f>
        <v>44784.14</v>
      </c>
      <c r="FK35" s="479">
        <f>SUM(FK33:FK34)</f>
        <v>172158.89</v>
      </c>
      <c r="FL35" s="479">
        <f>SUM(FL33:FL34)</f>
        <v>826002.82000000007</v>
      </c>
      <c r="FM35" s="501">
        <f>FJ35+FL35+FK35</f>
        <v>1042945.8500000001</v>
      </c>
      <c r="FN35" s="479">
        <v>44784.14</v>
      </c>
      <c r="FO35" s="479">
        <v>172158.88999999998</v>
      </c>
      <c r="FP35" s="479">
        <v>793124.49</v>
      </c>
      <c r="FQ35" s="479">
        <v>1010067.52</v>
      </c>
      <c r="FR35" s="479">
        <v>1010067.52</v>
      </c>
      <c r="FT35" s="408"/>
      <c r="JH35" s="518"/>
      <c r="JJ35" s="518"/>
      <c r="KM35" s="279"/>
      <c r="KN35" s="279"/>
      <c r="KO35" s="279"/>
      <c r="KP35" s="279"/>
      <c r="KQ35" s="279"/>
      <c r="KR35" s="279"/>
      <c r="KS35" s="279"/>
      <c r="KT35" s="279"/>
      <c r="KU35" s="279"/>
      <c r="KV35" s="279"/>
      <c r="KW35" s="279"/>
      <c r="KX35" s="279"/>
      <c r="KY35" s="279"/>
      <c r="KZ35" s="279"/>
      <c r="LA35" s="279"/>
      <c r="LB35" s="279"/>
      <c r="LC35" s="664"/>
      <c r="LD35" s="279"/>
      <c r="LL35" s="518"/>
      <c r="LN35" s="518"/>
      <c r="LO35" s="518"/>
      <c r="MX35" s="421">
        <f>MX34+1</f>
        <v>28</v>
      </c>
      <c r="MY35" s="678" t="s">
        <v>248</v>
      </c>
      <c r="MZ35" s="954">
        <f>KD26</f>
        <v>221</v>
      </c>
      <c r="NA35" s="954"/>
      <c r="NB35" s="38"/>
      <c r="NC35" s="679"/>
      <c r="ND35" s="38">
        <f>MZ35</f>
        <v>221</v>
      </c>
      <c r="NH35" s="421">
        <f>NH34+1</f>
        <v>28</v>
      </c>
      <c r="NI35" s="678" t="str">
        <f>MY35</f>
        <v>Number of Depots</v>
      </c>
      <c r="NJ35" s="38">
        <v>222</v>
      </c>
      <c r="NK35" s="38">
        <f>MZ35</f>
        <v>221</v>
      </c>
      <c r="NL35" s="680">
        <f>NK35-NJ35</f>
        <v>-1</v>
      </c>
      <c r="NM35" s="681">
        <f t="shared" si="137"/>
        <v>-4.5045045045045045E-3</v>
      </c>
    </row>
    <row r="36" spans="38:377" ht="17.25" thickBot="1" x14ac:dyDescent="0.35">
      <c r="AN36" s="576"/>
      <c r="FG36" s="467">
        <f t="shared" si="84"/>
        <v>31</v>
      </c>
      <c r="FH36" s="682"/>
      <c r="FI36" s="471" t="s">
        <v>72</v>
      </c>
      <c r="FJ36" s="469">
        <f>FJ20+FJ24+FJ31+FJ35</f>
        <v>1955314.6527999998</v>
      </c>
      <c r="FK36" s="469">
        <f>FK20+FK24+FK31+FK35</f>
        <v>3087185.5686000003</v>
      </c>
      <c r="FL36" s="469">
        <f>FL20+FL24+FL31+FL35</f>
        <v>5219521.7150999997</v>
      </c>
      <c r="FM36" s="470">
        <f>FJ36+FL36+FK36</f>
        <v>10262021.9365</v>
      </c>
      <c r="FN36" s="469">
        <v>1867647.810069697</v>
      </c>
      <c r="FO36" s="469">
        <v>2660485.1605300005</v>
      </c>
      <c r="FP36" s="469">
        <v>5141127.5751</v>
      </c>
      <c r="FQ36" s="469">
        <v>9669260.545699697</v>
      </c>
      <c r="FR36" s="469">
        <v>9669260.545699697</v>
      </c>
      <c r="FT36" s="408"/>
      <c r="JH36" s="518"/>
      <c r="JJ36" s="518"/>
      <c r="KL36" s="683"/>
      <c r="KM36" s="677"/>
      <c r="KN36" s="279"/>
      <c r="KO36" s="279"/>
      <c r="KP36" s="279"/>
      <c r="KQ36" s="279"/>
      <c r="KR36" s="279"/>
      <c r="KS36" s="279"/>
      <c r="KT36" s="279"/>
      <c r="KU36" s="279"/>
      <c r="KV36" s="279"/>
      <c r="KW36" s="279"/>
      <c r="KX36" s="279"/>
      <c r="KY36" s="279"/>
      <c r="KZ36" s="279"/>
      <c r="LA36" s="279"/>
      <c r="LB36" s="677"/>
      <c r="LC36" s="684"/>
      <c r="LD36" s="677"/>
      <c r="LL36" s="518"/>
      <c r="LN36" s="518"/>
      <c r="LO36" s="518"/>
      <c r="MY36" s="91" t="s">
        <v>462</v>
      </c>
    </row>
    <row r="37" spans="38:377" x14ac:dyDescent="0.3">
      <c r="AL37" s="464"/>
      <c r="AN37" s="438"/>
      <c r="AP37" s="685"/>
      <c r="AQ37" s="91"/>
      <c r="AT37" s="326"/>
      <c r="AV37" s="686"/>
      <c r="AW37" s="326"/>
      <c r="AX37" s="351"/>
      <c r="AZ37" s="686"/>
      <c r="BA37" s="326"/>
      <c r="BB37" s="351"/>
      <c r="BD37" s="686"/>
      <c r="BE37" s="326"/>
      <c r="BF37" s="351"/>
      <c r="BH37" s="686"/>
      <c r="BI37" s="326"/>
      <c r="BJ37" s="351"/>
      <c r="BL37" s="686"/>
      <c r="BM37" s="326"/>
      <c r="BN37" s="351"/>
      <c r="BP37" s="686"/>
      <c r="BQ37" s="326"/>
      <c r="BR37" s="351"/>
      <c r="BT37" s="686"/>
      <c r="BU37" s="326"/>
      <c r="BV37" s="351"/>
      <c r="BW37" s="351"/>
      <c r="BX37" s="351"/>
      <c r="BY37" s="351"/>
      <c r="BZ37" s="351"/>
      <c r="CA37" s="351"/>
      <c r="CB37" s="351"/>
      <c r="CC37" s="686"/>
      <c r="CD37" s="326"/>
      <c r="CE37" s="351"/>
      <c r="CF37" s="351"/>
      <c r="CG37" s="351"/>
      <c r="JH37" s="518"/>
      <c r="JJ37" s="518"/>
      <c r="KL37" s="683"/>
      <c r="KM37" s="677"/>
      <c r="KN37" s="279"/>
      <c r="KO37" s="279"/>
      <c r="KP37" s="279"/>
      <c r="KQ37" s="279"/>
      <c r="KR37" s="279"/>
      <c r="KS37" s="279"/>
      <c r="KT37" s="279"/>
      <c r="KU37" s="279"/>
      <c r="KV37" s="279"/>
      <c r="KW37" s="279"/>
      <c r="KX37" s="279"/>
      <c r="KY37" s="279"/>
      <c r="KZ37" s="279"/>
      <c r="LA37" s="279"/>
      <c r="LB37" s="677"/>
      <c r="LC37" s="684"/>
      <c r="LD37" s="677"/>
      <c r="LL37" s="518"/>
      <c r="LN37" s="518"/>
      <c r="LO37" s="518"/>
      <c r="MY37" s="572" t="s">
        <v>254</v>
      </c>
      <c r="MZ37" s="31">
        <v>113162003.07033257</v>
      </c>
      <c r="NA37" s="573">
        <v>5.1371628933547182</v>
      </c>
      <c r="NB37" s="96"/>
      <c r="NC37" s="96"/>
      <c r="ND37" s="96"/>
    </row>
    <row r="38" spans="38:377" x14ac:dyDescent="0.3">
      <c r="AL38" s="464"/>
      <c r="AN38" s="438"/>
      <c r="AQ38" s="91"/>
      <c r="BU38" s="347"/>
      <c r="CD38" s="347"/>
      <c r="FT38" s="408"/>
      <c r="JH38" s="518"/>
      <c r="JJ38" s="518"/>
      <c r="KL38" s="683"/>
      <c r="KM38" s="677"/>
      <c r="KN38" s="677"/>
      <c r="KO38" s="677"/>
      <c r="KP38" s="677"/>
      <c r="KQ38" s="677"/>
      <c r="KR38" s="677"/>
      <c r="KT38" s="641"/>
      <c r="KU38" s="641"/>
      <c r="KV38" s="641"/>
      <c r="KW38" s="641"/>
      <c r="KX38" s="641"/>
      <c r="KY38" s="641"/>
      <c r="KZ38" s="677"/>
      <c r="LA38" s="677"/>
      <c r="LB38" s="677"/>
      <c r="LC38" s="684"/>
      <c r="LD38" s="677"/>
      <c r="LL38" s="518"/>
      <c r="LN38" s="518"/>
      <c r="LO38" s="518"/>
      <c r="MY38" s="20" t="s">
        <v>257</v>
      </c>
      <c r="MZ38" s="20">
        <v>0</v>
      </c>
      <c r="NA38" s="414">
        <v>0</v>
      </c>
      <c r="NB38" s="96"/>
      <c r="NC38" s="96"/>
      <c r="ND38" s="96"/>
    </row>
    <row r="39" spans="38:377" x14ac:dyDescent="0.3">
      <c r="JH39" s="518"/>
      <c r="JJ39" s="518"/>
      <c r="KL39" s="683"/>
      <c r="KM39" s="677"/>
      <c r="KN39" s="677"/>
      <c r="KO39" s="677"/>
      <c r="KP39" s="677"/>
      <c r="KQ39" s="677"/>
      <c r="KR39" s="677"/>
      <c r="KT39" s="641"/>
      <c r="KU39" s="641"/>
      <c r="KV39" s="641"/>
      <c r="KW39" s="641"/>
      <c r="KX39" s="641"/>
      <c r="KY39" s="641"/>
      <c r="KZ39" s="677"/>
      <c r="LA39" s="677"/>
      <c r="LB39" s="677"/>
      <c r="LC39" s="684"/>
      <c r="LD39" s="677"/>
      <c r="LL39" s="518"/>
      <c r="LN39" s="518"/>
      <c r="LO39" s="518"/>
      <c r="MH39" s="687"/>
      <c r="MI39" s="687"/>
      <c r="MJ39" s="687"/>
      <c r="MK39" s="687"/>
      <c r="MY39" s="32" t="s">
        <v>262</v>
      </c>
      <c r="MZ39" s="32">
        <v>0</v>
      </c>
      <c r="NA39" s="638">
        <v>0</v>
      </c>
      <c r="NB39" s="96"/>
      <c r="NC39" s="96"/>
      <c r="ND39" s="96"/>
    </row>
    <row r="40" spans="38:377" x14ac:dyDescent="0.3">
      <c r="AL40" s="464"/>
      <c r="JH40" s="518"/>
      <c r="JJ40" s="518"/>
      <c r="KT40" s="641"/>
      <c r="KU40" s="641"/>
      <c r="KV40" s="641"/>
      <c r="KW40" s="641"/>
      <c r="KX40" s="641"/>
      <c r="KY40" s="641"/>
      <c r="LL40" s="518"/>
      <c r="LN40" s="518"/>
      <c r="LO40" s="518"/>
      <c r="MH40" s="687"/>
      <c r="MI40" s="687"/>
      <c r="MJ40" s="687"/>
      <c r="MK40" s="687"/>
      <c r="MY40" s="647" t="s">
        <v>264</v>
      </c>
      <c r="MZ40" s="648">
        <v>113162003.07033257</v>
      </c>
      <c r="NA40" s="649">
        <v>5.1371628933547182</v>
      </c>
      <c r="NB40" s="96"/>
      <c r="NC40" s="96"/>
      <c r="ND40" s="96"/>
    </row>
    <row r="41" spans="38:377" x14ac:dyDescent="0.3">
      <c r="AL41" s="688"/>
      <c r="JH41" s="518"/>
      <c r="JJ41" s="518"/>
      <c r="KT41" s="641"/>
      <c r="KU41" s="641"/>
      <c r="KV41" s="641"/>
      <c r="KW41" s="641"/>
      <c r="KX41" s="641"/>
      <c r="KY41" s="641"/>
      <c r="LL41" s="518"/>
      <c r="LN41" s="518"/>
      <c r="LO41" s="518"/>
      <c r="MH41" s="687"/>
      <c r="MI41" s="689"/>
      <c r="MJ41" s="690"/>
      <c r="MK41" s="691"/>
      <c r="MY41" s="444" t="s">
        <v>266</v>
      </c>
      <c r="MZ41" s="652">
        <v>4758928.0499999989</v>
      </c>
      <c r="NA41" s="509">
        <v>0.2160388463202649</v>
      </c>
      <c r="NB41" s="96"/>
      <c r="NC41" s="96"/>
      <c r="ND41" s="96"/>
    </row>
    <row r="42" spans="38:377" x14ac:dyDescent="0.3">
      <c r="AL42" s="464"/>
      <c r="JH42" s="518"/>
      <c r="JJ42" s="518"/>
      <c r="KT42" s="641"/>
      <c r="KU42" s="641"/>
      <c r="KV42" s="641"/>
      <c r="KW42" s="641"/>
      <c r="KX42" s="641"/>
      <c r="KY42" s="641"/>
      <c r="LL42" s="518"/>
      <c r="LN42" s="518"/>
      <c r="LO42" s="518"/>
      <c r="MH42" s="687"/>
      <c r="MI42" s="690"/>
      <c r="MJ42" s="690"/>
      <c r="MK42" s="691"/>
      <c r="MY42" s="647" t="s">
        <v>268</v>
      </c>
      <c r="MZ42" s="648">
        <v>108403075.02033257</v>
      </c>
      <c r="NA42" s="649">
        <v>4.9211240470344544</v>
      </c>
      <c r="NB42" s="96"/>
      <c r="NC42" s="96"/>
      <c r="ND42" s="96"/>
    </row>
    <row r="43" spans="38:377" x14ac:dyDescent="0.3">
      <c r="JH43" s="518"/>
      <c r="JJ43" s="518"/>
      <c r="KT43" s="641"/>
      <c r="KU43" s="641"/>
      <c r="KV43" s="641"/>
      <c r="KW43" s="641"/>
      <c r="KX43" s="641"/>
      <c r="KY43" s="641"/>
      <c r="LL43" s="518"/>
      <c r="LN43" s="518"/>
      <c r="LO43" s="518"/>
      <c r="MH43" s="687"/>
      <c r="MI43" s="689"/>
      <c r="MJ43" s="689"/>
      <c r="MK43" s="691"/>
      <c r="MY43" s="32" t="s">
        <v>269</v>
      </c>
      <c r="MZ43" s="32">
        <v>136637688.37609816</v>
      </c>
      <c r="NA43" s="638">
        <v>6.2028776754967172</v>
      </c>
      <c r="NB43" s="96"/>
      <c r="NC43" s="96"/>
      <c r="ND43" s="96"/>
    </row>
    <row r="44" spans="38:377" x14ac:dyDescent="0.3">
      <c r="JH44" s="518"/>
      <c r="JJ44" s="518"/>
      <c r="KT44" s="641"/>
      <c r="KU44" s="641"/>
      <c r="KV44" s="641"/>
      <c r="KW44" s="641"/>
      <c r="KX44" s="641"/>
      <c r="KY44" s="641"/>
      <c r="LL44" s="518"/>
      <c r="LN44" s="518"/>
      <c r="LO44" s="518"/>
      <c r="MH44" s="687"/>
      <c r="MI44" s="687"/>
      <c r="MJ44" s="687"/>
      <c r="MK44" s="691"/>
      <c r="MY44" s="665" t="s">
        <v>271</v>
      </c>
      <c r="MZ44" s="665">
        <v>-0.17673177638173754</v>
      </c>
      <c r="NA44" s="665"/>
      <c r="NB44" s="96"/>
      <c r="NC44" s="96"/>
      <c r="ND44" s="96"/>
      <c r="NI44" s="113"/>
    </row>
    <row r="45" spans="38:377" x14ac:dyDescent="0.3">
      <c r="KT45" s="641"/>
      <c r="KU45" s="641"/>
      <c r="KV45" s="641"/>
      <c r="KW45" s="641"/>
      <c r="KX45" s="641"/>
      <c r="KY45" s="641"/>
      <c r="LL45" s="518"/>
      <c r="LN45" s="518"/>
      <c r="LO45" s="518"/>
      <c r="MH45" s="687"/>
      <c r="MI45" s="687"/>
      <c r="MJ45" s="687"/>
      <c r="MK45" s="687"/>
      <c r="MY45" s="88"/>
      <c r="MZ45" s="88"/>
      <c r="NA45" s="88"/>
      <c r="NB45" s="96"/>
      <c r="NC45" s="96"/>
      <c r="ND45" s="96"/>
    </row>
    <row r="46" spans="38:377" x14ac:dyDescent="0.3">
      <c r="KT46" s="641"/>
      <c r="KU46" s="641"/>
      <c r="KV46" s="641"/>
      <c r="KW46" s="641"/>
      <c r="KX46" s="641"/>
      <c r="KY46" s="641"/>
      <c r="LL46" s="518"/>
      <c r="LN46" s="518"/>
      <c r="LO46" s="518"/>
      <c r="MY46" s="672" t="s">
        <v>119</v>
      </c>
      <c r="MZ46" s="958">
        <v>2202811268</v>
      </c>
      <c r="NA46" s="958"/>
      <c r="NB46" s="96"/>
      <c r="NC46" s="96"/>
      <c r="ND46" s="96"/>
      <c r="NI46" s="113"/>
    </row>
    <row r="47" spans="38:377" x14ac:dyDescent="0.3">
      <c r="KT47" s="641"/>
      <c r="KU47" s="641"/>
      <c r="KV47" s="641"/>
      <c r="KW47" s="641"/>
      <c r="KX47" s="641"/>
      <c r="KY47" s="641"/>
      <c r="LL47" s="518"/>
      <c r="LN47" s="518"/>
      <c r="LO47" s="518"/>
      <c r="MZ47" s="96"/>
      <c r="NA47" s="96"/>
      <c r="NB47" s="96"/>
      <c r="NC47" s="96"/>
      <c r="ND47" s="96"/>
    </row>
    <row r="48" spans="38:377" x14ac:dyDescent="0.3">
      <c r="KT48" s="641"/>
      <c r="KU48" s="641"/>
      <c r="KV48" s="641"/>
      <c r="KW48" s="641"/>
      <c r="KX48" s="641"/>
      <c r="KY48" s="641"/>
      <c r="LL48" s="518"/>
      <c r="LN48" s="518"/>
      <c r="LO48" s="518"/>
      <c r="MY48" s="91" t="s">
        <v>449</v>
      </c>
      <c r="MZ48" s="950">
        <f>MZ28-MZ37</f>
        <v>0</v>
      </c>
      <c r="NA48" s="694"/>
      <c r="NH48" s="98"/>
      <c r="NI48" s="695"/>
    </row>
    <row r="49" spans="306:380" x14ac:dyDescent="0.3">
      <c r="KT49" s="641"/>
      <c r="KU49" s="641"/>
      <c r="KV49" s="641"/>
      <c r="KW49" s="641"/>
      <c r="KX49" s="641"/>
      <c r="KY49" s="641"/>
      <c r="LL49" s="518"/>
      <c r="LN49" s="518"/>
      <c r="LO49" s="518"/>
      <c r="MY49" s="91"/>
      <c r="MZ49" s="1004"/>
      <c r="NA49" s="692"/>
      <c r="NI49" s="695"/>
    </row>
    <row r="50" spans="306:380" x14ac:dyDescent="0.3">
      <c r="KT50" s="641"/>
      <c r="KU50" s="641"/>
      <c r="LL50" s="518"/>
      <c r="LN50" s="518"/>
      <c r="LO50" s="518"/>
      <c r="MP50" s="337"/>
      <c r="MQ50" s="98"/>
      <c r="MU50" s="98"/>
      <c r="MV50" s="337"/>
      <c r="MW50" s="98"/>
      <c r="MZ50" s="693"/>
      <c r="NA50" s="694"/>
      <c r="NH50" s="98"/>
      <c r="NI50" s="695"/>
      <c r="NO50" s="337"/>
      <c r="NP50" s="98"/>
    </row>
    <row r="51" spans="306:380" x14ac:dyDescent="0.3">
      <c r="LL51" s="518"/>
      <c r="LN51" s="518"/>
      <c r="LO51" s="518"/>
      <c r="MR51" s="98"/>
      <c r="MS51" s="98"/>
      <c r="MT51" s="98"/>
      <c r="MZ51" s="20"/>
      <c r="NA51" s="692"/>
      <c r="NG51" s="98"/>
    </row>
    <row r="52" spans="306:380" x14ac:dyDescent="0.3">
      <c r="MP52" s="337"/>
      <c r="MQ52" s="98"/>
      <c r="MU52" s="98"/>
      <c r="MV52" s="337"/>
      <c r="MW52" s="98"/>
      <c r="MZ52" s="693"/>
      <c r="NA52" s="694"/>
      <c r="NF52" s="337"/>
      <c r="NO52" s="337"/>
      <c r="NP52" s="98"/>
    </row>
    <row r="53" spans="306:380" x14ac:dyDescent="0.3">
      <c r="MR53" s="98"/>
      <c r="MS53" s="98"/>
      <c r="MT53" s="98"/>
      <c r="MZ53" s="20"/>
      <c r="NA53" s="692"/>
      <c r="NG53" s="98"/>
    </row>
    <row r="54" spans="306:380" x14ac:dyDescent="0.3">
      <c r="MZ54" s="20"/>
      <c r="NA54" s="692"/>
      <c r="NF54" s="337"/>
    </row>
  </sheetData>
  <mergeCells count="113">
    <mergeCell ref="MZ46:NA46"/>
    <mergeCell ref="F25:G25"/>
    <mergeCell ref="H25:J25"/>
    <mergeCell ref="K25:M25"/>
    <mergeCell ref="N25:P25"/>
    <mergeCell ref="MZ34:NA34"/>
    <mergeCell ref="MZ35:NA35"/>
    <mergeCell ref="BT22:BV22"/>
    <mergeCell ref="BT23:BV23"/>
    <mergeCell ref="F24:G24"/>
    <mergeCell ref="H24:J24"/>
    <mergeCell ref="K24:M24"/>
    <mergeCell ref="N24:P24"/>
    <mergeCell ref="MI3:MK3"/>
    <mergeCell ref="ML3:MN3"/>
    <mergeCell ref="MZ4:NA4"/>
    <mergeCell ref="NC4:ND4"/>
    <mergeCell ref="DH12:DI13"/>
    <mergeCell ref="AN21:CG21"/>
    <mergeCell ref="LQ3:LR3"/>
    <mergeCell ref="LS3:LT3"/>
    <mergeCell ref="LU3:LV3"/>
    <mergeCell ref="LW3:LX3"/>
    <mergeCell ref="LY3:LZ3"/>
    <mergeCell ref="MF3:MH3"/>
    <mergeCell ref="KX3:KY3"/>
    <mergeCell ref="KZ3:LA3"/>
    <mergeCell ref="LI3:LJ3"/>
    <mergeCell ref="LK3:LL3"/>
    <mergeCell ref="LM3:LN3"/>
    <mergeCell ref="LO3:LP3"/>
    <mergeCell ref="JQ3:JR3"/>
    <mergeCell ref="JS3:JT3"/>
    <mergeCell ref="JU3:JW3"/>
    <mergeCell ref="KR3:KS3"/>
    <mergeCell ref="KT3:KU3"/>
    <mergeCell ref="KV3:KW3"/>
    <mergeCell ref="JE3:JF3"/>
    <mergeCell ref="JG3:JH3"/>
    <mergeCell ref="JI3:JJ3"/>
    <mergeCell ref="JK3:JL3"/>
    <mergeCell ref="JM3:JN3"/>
    <mergeCell ref="JO3:JP3"/>
    <mergeCell ref="HO3:HR3"/>
    <mergeCell ref="IN3:IO3"/>
    <mergeCell ref="IP3:IQ3"/>
    <mergeCell ref="IR3:IS3"/>
    <mergeCell ref="IT3:IU3"/>
    <mergeCell ref="IV3:IW3"/>
    <mergeCell ref="GB3:GE3"/>
    <mergeCell ref="GK3:GN3"/>
    <mergeCell ref="GO3:GR3"/>
    <mergeCell ref="GX3:HA3"/>
    <mergeCell ref="HB3:HE3"/>
    <mergeCell ref="HK3:HN3"/>
    <mergeCell ref="ES3:EV3"/>
    <mergeCell ref="EW3:EZ3"/>
    <mergeCell ref="FA3:FC3"/>
    <mergeCell ref="FJ3:FM3"/>
    <mergeCell ref="FN3:FR3"/>
    <mergeCell ref="FX3:GA3"/>
    <mergeCell ref="DJ3:DK3"/>
    <mergeCell ref="DL3:DM3"/>
    <mergeCell ref="DS3:DV3"/>
    <mergeCell ref="DW3:DZ3"/>
    <mergeCell ref="EF3:EI3"/>
    <mergeCell ref="EJ3:EM3"/>
    <mergeCell ref="CC3:CE3"/>
    <mergeCell ref="CF3:CG3"/>
    <mergeCell ref="CM3:CP3"/>
    <mergeCell ref="CQ3:CT3"/>
    <mergeCell ref="CZ3:DA3"/>
    <mergeCell ref="DB3:DD3"/>
    <mergeCell ref="BH3:BJ3"/>
    <mergeCell ref="BL3:BN3"/>
    <mergeCell ref="BP3:BR3"/>
    <mergeCell ref="BT3:BV3"/>
    <mergeCell ref="BW3:BY3"/>
    <mergeCell ref="BZ3:CB3"/>
    <mergeCell ref="NH1:NM2"/>
    <mergeCell ref="F3:G3"/>
    <mergeCell ref="H3:J3"/>
    <mergeCell ref="K3:M3"/>
    <mergeCell ref="N3:P3"/>
    <mergeCell ref="Q3:R3"/>
    <mergeCell ref="AS3:AT3"/>
    <mergeCell ref="AV3:AX3"/>
    <mergeCell ref="AZ3:BB3"/>
    <mergeCell ref="BD3:BF3"/>
    <mergeCell ref="KA1:KJ2"/>
    <mergeCell ref="KN1:LA2"/>
    <mergeCell ref="LE1:LZ2"/>
    <mergeCell ref="MD1:MN2"/>
    <mergeCell ref="MR1:MT2"/>
    <mergeCell ref="MX1:ND2"/>
    <mergeCell ref="GH1:GS1"/>
    <mergeCell ref="GU1:HF1"/>
    <mergeCell ref="HH1:HS1"/>
    <mergeCell ref="HV1:IG2"/>
    <mergeCell ref="IK1:IW2"/>
    <mergeCell ref="JA1:JW1"/>
    <mergeCell ref="DG1:DN1"/>
    <mergeCell ref="DP1:EA1"/>
    <mergeCell ref="ED1:EM1"/>
    <mergeCell ref="EQ1:FC1"/>
    <mergeCell ref="FG1:FR1"/>
    <mergeCell ref="FU1:GF1"/>
    <mergeCell ref="B1:R1"/>
    <mergeCell ref="W1:AA1"/>
    <mergeCell ref="AF1:AJ1"/>
    <mergeCell ref="AN1:CG1"/>
    <mergeCell ref="CJ1:CU1"/>
    <mergeCell ref="CW1:DE1"/>
  </mergeCells>
  <conditionalFormatting sqref="AM3:CH4">
    <cfRule type="cellIs" dxfId="25" priority="5" operator="lessThan">
      <formula>0</formula>
    </cfRule>
  </conditionalFormatting>
  <conditionalFormatting sqref="AN7:AP20">
    <cfRule type="cellIs" dxfId="24" priority="20" operator="lessThan">
      <formula>0</formula>
    </cfRule>
  </conditionalFormatting>
  <conditionalFormatting sqref="AN22:BT23">
    <cfRule type="cellIs" dxfId="23" priority="3" operator="lessThan">
      <formula>0</formula>
    </cfRule>
  </conditionalFormatting>
  <conditionalFormatting sqref="BW7:CG20">
    <cfRule type="cellIs" dxfId="22" priority="8" operator="lessThan">
      <formula>0</formula>
    </cfRule>
  </conditionalFormatting>
  <conditionalFormatting sqref="BZ22:CA23">
    <cfRule type="cellIs" dxfId="21" priority="2" operator="lessThan">
      <formula>0</formula>
    </cfRule>
  </conditionalFormatting>
  <conditionalFormatting sqref="CC22:CG23">
    <cfRule type="cellIs" dxfId="20" priority="9" operator="lessThan">
      <formula>0</formula>
    </cfRule>
  </conditionalFormatting>
  <conditionalFormatting sqref="CH1:CI1 JZ1:KA1 KN1 LB1:LE1 MA1:MB1 MD1 AM1:AM2 KK1:KM2 AO2:AR2 BW2:CH2 JZ2 MA2 LB2:LD27 CI2:CI1048576 MB2:MB1048576 JZ3:KP3 KR3 KT3 KV3 LI3:LO3 LQ3 LU3:MA3 LG3:LH4 JZ4 KB4:KL4 LI4:MA4 KN4:KQ27 KM4:KM28 AN5:AR5 BW5:CG5 CH5:CH24 LE5:LF27 AM5:AM1048576 AN6:CG6 KJ6:KL26 JZ6:KI1048576 AQ7:BT10 BU7:BV11 LU7:MA28 AQ11:BO11 BQ11:BT11 AQ12:BV20 AH19:AJ19 AN26:CH1048576 KS27 KU27 KW27:KY27 KL27:KL32 KJ27:KK1048576 MC28:MN1048576 KM29:KR29 KT29:LD29 LF29:LZ29 MA29:MA1048576 LF30:LH30 LJ30:LZ30 KM30:KM32 LB30:LD32 KN30:LA37 LE31:LZ1048576 KN38:KR50 KL34:KM50 KT38:LA50 LB34:LD50 KL51:LD1048576">
    <cfRule type="cellIs" dxfId="19" priority="26" operator="lessThan">
      <formula>0</formula>
    </cfRule>
  </conditionalFormatting>
  <conditionalFormatting sqref="IC4 IC6:IC25">
    <cfRule type="cellIs" dxfId="18" priority="25" operator="lessThan">
      <formula>0</formula>
    </cfRule>
  </conditionalFormatting>
  <conditionalFormatting sqref="JC4">
    <cfRule type="cellIs" dxfId="17" priority="23" operator="lessThan">
      <formula>0</formula>
    </cfRule>
  </conditionalFormatting>
  <conditionalFormatting sqref="JZ5:KL5">
    <cfRule type="cellIs" dxfId="16" priority="12" operator="lessThan">
      <formula>0</formula>
    </cfRule>
  </conditionalFormatting>
  <conditionalFormatting sqref="KR4:LA26">
    <cfRule type="cellIs" dxfId="15" priority="1" operator="lessThan">
      <formula>0</formula>
    </cfRule>
  </conditionalFormatting>
  <conditionalFormatting sqref="KZ3">
    <cfRule type="cellIs" dxfId="14" priority="21" operator="lessThan">
      <formula>0</formula>
    </cfRule>
  </conditionalFormatting>
  <conditionalFormatting sqref="KZ28:LT28">
    <cfRule type="cellIs" dxfId="13" priority="11" operator="lessThan">
      <formula>0</formula>
    </cfRule>
  </conditionalFormatting>
  <conditionalFormatting sqref="LA27">
    <cfRule type="cellIs" dxfId="12" priority="13" operator="lessThan">
      <formula>0</formula>
    </cfRule>
  </conditionalFormatting>
  <conditionalFormatting sqref="LE3:LF3 LF4">
    <cfRule type="cellIs" dxfId="11" priority="22" operator="lessThan">
      <formula>0</formula>
    </cfRule>
  </conditionalFormatting>
  <conditionalFormatting sqref="LG7:LT27">
    <cfRule type="cellIs" dxfId="10" priority="10" operator="lessThan">
      <formula>0</formula>
    </cfRule>
  </conditionalFormatting>
  <conditionalFormatting sqref="LG5:MA6">
    <cfRule type="cellIs" dxfId="9" priority="24" operator="lessThan">
      <formula>0</formula>
    </cfRule>
  </conditionalFormatting>
  <conditionalFormatting sqref="MC2">
    <cfRule type="cellIs" dxfId="8" priority="4" operator="lessThan">
      <formula>0</formula>
    </cfRule>
  </conditionalFormatting>
  <conditionalFormatting sqref="MF3:MF4">
    <cfRule type="cellIs" dxfId="7" priority="19" operator="lessThan">
      <formula>0</formula>
    </cfRule>
  </conditionalFormatting>
  <conditionalFormatting sqref="MG4:MH4">
    <cfRule type="cellIs" dxfId="6" priority="18" operator="lessThan">
      <formula>0</formula>
    </cfRule>
  </conditionalFormatting>
  <conditionalFormatting sqref="MI3:MI4">
    <cfRule type="cellIs" dxfId="5" priority="17" operator="lessThan">
      <formula>0</formula>
    </cfRule>
  </conditionalFormatting>
  <conditionalFormatting sqref="MJ4:MK4">
    <cfRule type="cellIs" dxfId="4" priority="16" operator="lessThan">
      <formula>0</formula>
    </cfRule>
  </conditionalFormatting>
  <conditionalFormatting sqref="ML3:ML4">
    <cfRule type="cellIs" dxfId="3" priority="15" operator="lessThan">
      <formula>0</formula>
    </cfRule>
  </conditionalFormatting>
  <conditionalFormatting sqref="MM4:MN4">
    <cfRule type="cellIs" dxfId="2" priority="14" operator="lessThan">
      <formula>0</formula>
    </cfRule>
  </conditionalFormatting>
  <conditionalFormatting sqref="MR1">
    <cfRule type="cellIs" dxfId="1" priority="7" operator="lessThan">
      <formula>0</formula>
    </cfRule>
  </conditionalFormatting>
  <conditionalFormatting sqref="MR4:MT4">
    <cfRule type="cellIs" dxfId="0" priority="6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867BE-1220-4202-BFBB-84B4B9762145}">
  <sheetPr>
    <tabColor theme="8" tint="0.39997558519241921"/>
  </sheetPr>
  <dimension ref="A1:KH50"/>
  <sheetViews>
    <sheetView zoomScale="85" zoomScaleNormal="85" workbookViewId="0">
      <selection activeCell="E18" sqref="E18"/>
    </sheetView>
  </sheetViews>
  <sheetFormatPr defaultColWidth="10.28515625" defaultRowHeight="16.5" x14ac:dyDescent="0.3"/>
  <cols>
    <col min="1" max="1" width="2.42578125" style="2" customWidth="1"/>
    <col min="2" max="2" width="8.85546875" style="2" customWidth="1"/>
    <col min="3" max="3" width="39.42578125" style="2" customWidth="1"/>
    <col min="4" max="4" width="24.5703125" style="2" customWidth="1"/>
    <col min="5" max="5" width="21.7109375" style="2" customWidth="1"/>
    <col min="6" max="6" width="21.42578125" style="2" customWidth="1"/>
    <col min="7" max="7" width="4.140625" style="2" customWidth="1"/>
    <col min="8" max="8" width="7" style="102" customWidth="1"/>
    <col min="9" max="9" width="4.140625" style="2" customWidth="1"/>
    <col min="10" max="10" width="5.7109375" style="2" customWidth="1"/>
    <col min="11" max="11" width="11.7109375" style="2" customWidth="1"/>
    <col min="12" max="12" width="37.7109375" style="2" customWidth="1"/>
    <col min="13" max="13" width="20.85546875" style="2" customWidth="1"/>
    <col min="14" max="16" width="14.42578125" style="2" customWidth="1"/>
    <col min="17" max="17" width="17.7109375" style="2" customWidth="1"/>
    <col min="18" max="18" width="15" style="2" customWidth="1"/>
    <col min="19" max="19" width="4.140625" style="2" customWidth="1"/>
    <col min="20" max="20" width="7" style="102" customWidth="1"/>
    <col min="21" max="21" width="4.140625" style="2" customWidth="1"/>
    <col min="22" max="22" width="6" style="2" customWidth="1"/>
    <col min="23" max="23" width="11.28515625" style="2" customWidth="1"/>
    <col min="24" max="24" width="35" style="2" bestFit="1" customWidth="1"/>
    <col min="25" max="25" width="18.28515625" style="2" customWidth="1"/>
    <col min="26" max="26" width="11.42578125" style="2" customWidth="1"/>
    <col min="27" max="27" width="4.140625" style="2" customWidth="1"/>
    <col min="28" max="28" width="7" style="102" customWidth="1"/>
    <col min="29" max="29" width="4.140625" style="2" customWidth="1"/>
    <col min="30" max="31" width="9.85546875" style="2" customWidth="1"/>
    <col min="32" max="32" width="38.28515625" style="2" customWidth="1"/>
    <col min="33" max="33" width="16.5703125" style="2" customWidth="1"/>
    <col min="34" max="34" width="4" style="2" customWidth="1"/>
    <col min="35" max="35" width="7" style="102" customWidth="1"/>
    <col min="36" max="36" width="4.140625" style="2" customWidth="1"/>
    <col min="37" max="37" width="5.140625" style="2" customWidth="1"/>
    <col min="38" max="38" width="65.28515625" style="2" customWidth="1"/>
    <col min="39" max="39" width="13.28515625" style="2" customWidth="1"/>
    <col min="40" max="40" width="4.140625" style="2" customWidth="1"/>
    <col min="41" max="41" width="7" style="102" customWidth="1"/>
    <col min="42" max="42" width="4.140625" style="2" customWidth="1"/>
    <col min="43" max="43" width="5.28515625" style="2" customWidth="1"/>
    <col min="44" max="44" width="11" style="2" customWidth="1"/>
    <col min="45" max="45" width="35" style="2" bestFit="1" customWidth="1"/>
    <col min="46" max="46" width="16.5703125" style="2" customWidth="1"/>
    <col min="47" max="47" width="17.85546875" style="2" bestFit="1" customWidth="1"/>
    <col min="48" max="48" width="22.42578125" style="2" customWidth="1"/>
    <col min="49" max="49" width="21" style="2" bestFit="1" customWidth="1"/>
    <col min="50" max="50" width="17.28515625" style="2" customWidth="1"/>
    <col min="51" max="51" width="20.28515625" style="2" customWidth="1"/>
    <col min="52" max="52" width="19.5703125" style="2" hidden="1" customWidth="1"/>
    <col min="53" max="53" width="15.5703125" style="2" hidden="1" customWidth="1"/>
    <col min="54" max="54" width="4.140625" style="2" customWidth="1"/>
    <col min="55" max="55" width="7" style="102" customWidth="1"/>
    <col min="56" max="56" width="4.140625" style="2" customWidth="1"/>
    <col min="57" max="57" width="4.7109375" style="2" bestFit="1" customWidth="1"/>
    <col min="58" max="58" width="36.140625" style="2" bestFit="1" customWidth="1"/>
    <col min="59" max="59" width="13.28515625" style="2" bestFit="1" customWidth="1"/>
    <col min="60" max="60" width="15" style="2" bestFit="1" customWidth="1"/>
    <col min="61" max="61" width="4.140625" style="2" customWidth="1"/>
    <col min="62" max="62" width="7" style="102" customWidth="1"/>
    <col min="63" max="63" width="4.140625" style="2" customWidth="1"/>
    <col min="64" max="64" width="5.7109375" style="2" customWidth="1"/>
    <col min="65" max="65" width="11.7109375" style="2" customWidth="1"/>
    <col min="66" max="66" width="38.42578125" style="2" customWidth="1"/>
    <col min="67" max="67" width="18.42578125" style="2" customWidth="1"/>
    <col min="68" max="68" width="20.5703125" style="2" customWidth="1"/>
    <col min="69" max="72" width="16.7109375" style="2" customWidth="1"/>
    <col min="73" max="73" width="4.140625" style="2" customWidth="1"/>
    <col min="74" max="74" width="7" style="102" customWidth="1"/>
    <col min="75" max="75" width="4.140625" style="2" customWidth="1"/>
    <col min="76" max="76" width="5" style="2" customWidth="1"/>
    <col min="77" max="77" width="18.85546875" style="2" bestFit="1" customWidth="1"/>
    <col min="78" max="78" width="14.42578125" style="2" customWidth="1"/>
    <col min="79" max="79" width="14.85546875" style="2" customWidth="1"/>
    <col min="80" max="83" width="15.5703125" style="2" customWidth="1"/>
    <col min="84" max="84" width="4.140625" style="2" customWidth="1"/>
    <col min="85" max="85" width="7" style="102" customWidth="1"/>
    <col min="86" max="86" width="4.140625" style="2" customWidth="1"/>
    <col min="87" max="87" width="5" style="2" customWidth="1"/>
    <col min="88" max="88" width="11" style="7" customWidth="1"/>
    <col min="89" max="89" width="35.5703125" style="2" customWidth="1"/>
    <col min="90" max="96" width="16.140625" style="2" customWidth="1"/>
    <col min="97" max="97" width="4.140625" style="2" customWidth="1"/>
    <col min="98" max="98" width="7" style="102" customWidth="1"/>
    <col min="99" max="99" width="4.140625" style="2" customWidth="1"/>
    <col min="100" max="100" width="4.7109375" style="2" customWidth="1"/>
    <col min="101" max="101" width="30" style="2" bestFit="1" customWidth="1"/>
    <col min="102" max="105" width="13.140625" style="2" customWidth="1"/>
    <col min="106" max="106" width="16.7109375" style="2" customWidth="1"/>
    <col min="107" max="107" width="20" style="2" customWidth="1"/>
    <col min="108" max="108" width="20.140625" style="2" customWidth="1"/>
    <col min="109" max="109" width="4.140625" style="2" customWidth="1"/>
    <col min="110" max="110" width="7" style="102" customWidth="1"/>
    <col min="111" max="111" width="4.140625" style="2" customWidth="1"/>
    <col min="112" max="112" width="5.85546875" style="2" customWidth="1"/>
    <col min="113" max="113" width="11.42578125" style="2" customWidth="1"/>
    <col min="114" max="114" width="34.42578125" style="2" customWidth="1"/>
    <col min="115" max="115" width="13.28515625" style="2" customWidth="1"/>
    <col min="116" max="116" width="15.5703125" style="2" customWidth="1"/>
    <col min="117" max="117" width="16.5703125" style="2" customWidth="1"/>
    <col min="118" max="118" width="15.5703125" style="2" customWidth="1"/>
    <col min="119" max="119" width="13.28515625" style="2" customWidth="1"/>
    <col min="120" max="120" width="15.5703125" style="2" customWidth="1"/>
    <col min="121" max="121" width="16.7109375" style="2" customWidth="1"/>
    <col min="122" max="122" width="13.28515625" style="2" customWidth="1"/>
    <col min="123" max="123" width="15.42578125" style="2" customWidth="1"/>
    <col min="124" max="124" width="4.140625" style="2" customWidth="1"/>
    <col min="125" max="125" width="7" style="102" customWidth="1"/>
    <col min="126" max="126" width="4.140625" style="2" customWidth="1"/>
    <col min="127" max="127" width="6.140625" style="2" customWidth="1"/>
    <col min="128" max="128" width="11.140625" style="2" customWidth="1"/>
    <col min="129" max="129" width="37.85546875" style="2" customWidth="1"/>
    <col min="130" max="130" width="16.7109375" style="2" customWidth="1"/>
    <col min="131" max="131" width="16" style="2" customWidth="1"/>
    <col min="132" max="132" width="15.42578125" style="2" customWidth="1"/>
    <col min="133" max="133" width="4.140625" style="2" customWidth="1"/>
    <col min="134" max="134" width="7" style="102" customWidth="1"/>
    <col min="135" max="135" width="4.140625" style="2" customWidth="1"/>
    <col min="136" max="136" width="4.7109375" style="2" customWidth="1"/>
    <col min="137" max="138" width="14.42578125" style="2" customWidth="1"/>
    <col min="139" max="139" width="13.140625" style="2" customWidth="1"/>
    <col min="140" max="140" width="14.85546875" style="2" customWidth="1"/>
    <col min="141" max="141" width="4.140625" style="2" customWidth="1"/>
    <col min="142" max="142" width="7" style="102" customWidth="1"/>
    <col min="143" max="143" width="4.140625" style="2" customWidth="1"/>
    <col min="144" max="144" width="5.7109375" style="2" customWidth="1"/>
    <col min="145" max="145" width="11.7109375" style="2" customWidth="1"/>
    <col min="146" max="146" width="34.42578125" style="2" customWidth="1"/>
    <col min="147" max="147" width="14.42578125" style="2" customWidth="1"/>
    <col min="148" max="148" width="15.5703125" style="2" bestFit="1" customWidth="1"/>
    <col min="149" max="152" width="14.42578125" style="2" customWidth="1"/>
    <col min="153" max="153" width="15.5703125" style="2" customWidth="1"/>
    <col min="154" max="155" width="14.42578125" style="2" customWidth="1"/>
    <col min="156" max="156" width="4.140625" style="2" customWidth="1"/>
    <col min="157" max="157" width="7" style="102" customWidth="1"/>
    <col min="158" max="158" width="4.140625" style="2" customWidth="1"/>
    <col min="159" max="159" width="5.28515625" style="2" customWidth="1"/>
    <col min="160" max="160" width="33.28515625" style="2" customWidth="1"/>
    <col min="161" max="161" width="21.28515625" style="2" customWidth="1"/>
    <col min="162" max="162" width="4.140625" style="2" customWidth="1"/>
    <col min="163" max="163" width="7" style="102" customWidth="1"/>
    <col min="164" max="164" width="4.140625" style="2" customWidth="1"/>
    <col min="165" max="165" width="5.42578125" style="2" customWidth="1"/>
    <col min="166" max="166" width="11.42578125" style="2" customWidth="1"/>
    <col min="167" max="167" width="40" style="2" customWidth="1"/>
    <col min="168" max="168" width="12.140625" style="2" customWidth="1"/>
    <col min="169" max="169" width="20.140625" style="2" customWidth="1"/>
    <col min="170" max="170" width="15.5703125" style="2" customWidth="1"/>
    <col min="171" max="171" width="4.140625" style="2" customWidth="1"/>
    <col min="172" max="172" width="7" style="102" customWidth="1"/>
    <col min="173" max="173" width="4.140625" style="2" customWidth="1"/>
    <col min="174" max="174" width="5.7109375" style="2" customWidth="1"/>
    <col min="175" max="175" width="10.5703125" style="2" customWidth="1"/>
    <col min="176" max="176" width="37.7109375" style="2" customWidth="1"/>
    <col min="177" max="177" width="17.28515625" style="2" bestFit="1" customWidth="1"/>
    <col min="178" max="178" width="16.7109375" style="2" bestFit="1" customWidth="1"/>
    <col min="179" max="179" width="16.140625" style="2" bestFit="1" customWidth="1"/>
    <col min="180" max="180" width="15.5703125" style="2" bestFit="1" customWidth="1"/>
    <col min="181" max="181" width="15" style="2" bestFit="1" customWidth="1"/>
    <col min="182" max="182" width="16.140625" style="2" bestFit="1" customWidth="1"/>
    <col min="183" max="183" width="16.7109375" style="2" bestFit="1" customWidth="1"/>
    <col min="184" max="184" width="17.85546875" style="2" bestFit="1" customWidth="1"/>
    <col min="185" max="185" width="15.42578125" style="2" customWidth="1"/>
    <col min="186" max="186" width="3" style="2" customWidth="1"/>
    <col min="187" max="187" width="7" style="102" customWidth="1"/>
    <col min="188" max="188" width="4.140625" style="2" customWidth="1"/>
    <col min="189" max="189" width="5.42578125" style="2" customWidth="1"/>
    <col min="190" max="190" width="11" style="2" customWidth="1"/>
    <col min="191" max="191" width="37.7109375" style="2" customWidth="1"/>
    <col min="192" max="192" width="18" style="2" customWidth="1"/>
    <col min="193" max="197" width="16.5703125" style="2" customWidth="1"/>
    <col min="198" max="198" width="24.85546875" style="2" customWidth="1"/>
    <col min="199" max="199" width="16.5703125" style="2" customWidth="1"/>
    <col min="200" max="200" width="20.140625" style="2" bestFit="1" customWidth="1"/>
    <col min="201" max="201" width="4.7109375" style="2" customWidth="1"/>
    <col min="202" max="202" width="7" style="102" customWidth="1"/>
    <col min="203" max="203" width="4.140625" style="2" customWidth="1"/>
    <col min="204" max="204" width="6" style="2" customWidth="1"/>
    <col min="205" max="205" width="11.140625" style="2" customWidth="1"/>
    <col min="206" max="206" width="34.85546875" style="2" customWidth="1"/>
    <col min="207" max="207" width="16.140625" style="2" customWidth="1"/>
    <col min="208" max="208" width="17.85546875" style="2" bestFit="1" customWidth="1"/>
    <col min="209" max="209" width="20.140625" style="2" customWidth="1"/>
    <col min="210" max="210" width="15.5703125" style="2" customWidth="1"/>
    <col min="211" max="211" width="17.85546875" style="2" bestFit="1" customWidth="1"/>
    <col min="212" max="212" width="15.5703125" style="2" customWidth="1"/>
    <col min="213" max="213" width="3" style="2" customWidth="1"/>
    <col min="214" max="214" width="7" style="102" customWidth="1"/>
    <col min="215" max="215" width="4.140625" style="2" customWidth="1"/>
    <col min="216" max="216" width="5.85546875" style="2" customWidth="1"/>
    <col min="217" max="217" width="15.5703125" style="2" customWidth="1"/>
    <col min="218" max="218" width="17.7109375" style="2" bestFit="1" customWidth="1"/>
    <col min="219" max="219" width="15.5703125" style="2" customWidth="1"/>
    <col min="220" max="220" width="17.7109375" style="2" bestFit="1" customWidth="1"/>
    <col min="221" max="221" width="11" style="2" customWidth="1"/>
    <col min="222" max="222" width="3" style="2" customWidth="1"/>
    <col min="223" max="223" width="7" style="102" customWidth="1"/>
    <col min="224" max="224" width="4.140625" style="2" customWidth="1"/>
    <col min="225" max="225" width="7.5703125" style="2" customWidth="1"/>
    <col min="226" max="226" width="10.28515625" style="2"/>
    <col min="227" max="227" width="32.7109375" style="2" bestFit="1" customWidth="1"/>
    <col min="228" max="228" width="16.42578125" style="2" customWidth="1"/>
    <col min="229" max="229" width="21.85546875" style="2" customWidth="1"/>
    <col min="230" max="230" width="23.140625" style="2" customWidth="1"/>
    <col min="231" max="231" width="11.5703125" style="2" customWidth="1"/>
    <col min="232" max="232" width="11" style="2" customWidth="1"/>
    <col min="233" max="233" width="16.5703125" style="2" customWidth="1"/>
    <col min="234" max="234" width="4.140625" style="2" customWidth="1"/>
    <col min="235" max="235" width="7" style="102" customWidth="1"/>
    <col min="236" max="236" width="4.140625" style="2" customWidth="1"/>
    <col min="237" max="238" width="14.140625" style="2" bestFit="1" customWidth="1"/>
    <col min="239" max="239" width="17.140625" style="2" bestFit="1" customWidth="1"/>
    <col min="240" max="240" width="10.28515625" style="2" bestFit="1"/>
    <col min="241" max="241" width="22.85546875" style="2" bestFit="1" customWidth="1"/>
    <col min="242" max="242" width="13.85546875" style="2" bestFit="1" customWidth="1"/>
    <col min="243" max="243" width="13.28515625" style="2" bestFit="1" customWidth="1"/>
    <col min="244" max="244" width="22.7109375" style="2" customWidth="1"/>
    <col min="245" max="245" width="8.5703125" style="2" bestFit="1" customWidth="1"/>
    <col min="246" max="246" width="10.28515625" style="2" bestFit="1"/>
    <col min="247" max="247" width="13.85546875" style="2" bestFit="1" customWidth="1"/>
    <col min="248" max="248" width="7" style="102" customWidth="1"/>
    <col min="249" max="249" width="14.42578125" style="2" bestFit="1" customWidth="1"/>
    <col min="250" max="250" width="4.7109375" style="2" bestFit="1" customWidth="1"/>
    <col min="251" max="251" width="12.7109375" style="2" customWidth="1"/>
    <col min="252" max="252" width="34.140625" style="2" customWidth="1"/>
    <col min="253" max="253" width="19" style="2" bestFit="1" customWidth="1"/>
    <col min="254" max="254" width="20.7109375" style="2" bestFit="1" customWidth="1"/>
    <col min="255" max="255" width="25.5703125" style="2" bestFit="1" customWidth="1"/>
    <col min="256" max="256" width="26.5703125" style="2" bestFit="1" customWidth="1"/>
    <col min="257" max="257" width="30.140625" style="2" bestFit="1" customWidth="1"/>
    <col min="258" max="258" width="28.28515625" style="2" customWidth="1"/>
    <col min="259" max="259" width="22.140625" style="2" bestFit="1" customWidth="1"/>
    <col min="260" max="260" width="17.7109375" style="2" bestFit="1" customWidth="1"/>
    <col min="261" max="261" width="15.140625" style="2" bestFit="1" customWidth="1"/>
    <col min="262" max="262" width="19" style="2" bestFit="1" customWidth="1"/>
    <col min="263" max="263" width="12.140625" style="2" customWidth="1"/>
    <col min="264" max="264" width="10.28515625" style="2"/>
    <col min="265" max="265" width="7" style="102" customWidth="1"/>
    <col min="266" max="266" width="10.28515625" style="2"/>
    <col min="267" max="267" width="11.5703125" style="2" bestFit="1" customWidth="1"/>
    <col min="268" max="268" width="9.85546875" style="2" bestFit="1" customWidth="1"/>
    <col min="269" max="269" width="33.85546875" style="2" customWidth="1"/>
    <col min="270" max="270" width="18.85546875" style="2" customWidth="1"/>
    <col min="271" max="271" width="20.42578125" style="2" customWidth="1"/>
    <col min="272" max="272" width="16.28515625" style="2" bestFit="1" customWidth="1"/>
    <col min="273" max="273" width="8.7109375" style="2" bestFit="1" customWidth="1"/>
    <col min="274" max="274" width="12.42578125" style="2" customWidth="1"/>
    <col min="275" max="275" width="14.42578125" style="2" customWidth="1"/>
    <col min="276" max="277" width="10.28515625" style="2"/>
    <col min="278" max="278" width="7" style="102" customWidth="1"/>
    <col min="279" max="279" width="10.28515625" style="2"/>
    <col min="280" max="282" width="17.28515625" style="2" bestFit="1" customWidth="1"/>
    <col min="283" max="283" width="11.5703125" style="2" bestFit="1" customWidth="1"/>
    <col min="284" max="284" width="29.85546875" style="2" bestFit="1" customWidth="1"/>
    <col min="285" max="285" width="15.85546875" style="2" customWidth="1"/>
    <col min="286" max="286" width="17.28515625" style="2" bestFit="1" customWidth="1"/>
    <col min="287" max="288" width="12.7109375" style="2" customWidth="1"/>
    <col min="289" max="289" width="17.140625" style="2" bestFit="1" customWidth="1"/>
    <col min="290" max="291" width="16.7109375" style="2" bestFit="1" customWidth="1"/>
    <col min="292" max="292" width="17.28515625" style="2" bestFit="1" customWidth="1"/>
    <col min="293" max="293" width="10.28515625" style="2"/>
    <col min="294" max="294" width="4.140625" style="43" customWidth="1"/>
  </cols>
  <sheetData>
    <row r="1" spans="1:294" s="44" customFormat="1" x14ac:dyDescent="0.3">
      <c r="A1" s="2"/>
      <c r="B1" s="1000" t="s">
        <v>274</v>
      </c>
      <c r="C1" s="1000"/>
      <c r="D1" s="1000"/>
      <c r="E1" s="1000"/>
      <c r="F1" s="1000"/>
      <c r="G1" s="712"/>
      <c r="H1" s="92"/>
      <c r="I1" s="712"/>
      <c r="J1" s="1000" t="s">
        <v>275</v>
      </c>
      <c r="K1" s="1000"/>
      <c r="L1" s="1000"/>
      <c r="M1" s="1000"/>
      <c r="N1" s="1000"/>
      <c r="O1" s="1000"/>
      <c r="P1" s="1000"/>
      <c r="Q1" s="1000"/>
      <c r="R1" s="1000"/>
      <c r="S1" s="712"/>
      <c r="T1" s="92"/>
      <c r="U1" s="712"/>
      <c r="V1" s="998" t="s">
        <v>276</v>
      </c>
      <c r="W1" s="998"/>
      <c r="X1" s="998"/>
      <c r="Y1" s="998"/>
      <c r="Z1" s="998"/>
      <c r="AA1" s="712"/>
      <c r="AB1" s="92"/>
      <c r="AC1" s="712"/>
      <c r="AD1" s="1000" t="s">
        <v>277</v>
      </c>
      <c r="AE1" s="1000"/>
      <c r="AF1" s="1000"/>
      <c r="AG1" s="1000"/>
      <c r="AH1" s="713"/>
      <c r="AI1" s="92"/>
      <c r="AJ1" s="712"/>
      <c r="AK1" s="1001" t="s">
        <v>278</v>
      </c>
      <c r="AL1" s="1001"/>
      <c r="AM1" s="1001"/>
      <c r="AN1" s="25"/>
      <c r="AO1" s="92"/>
      <c r="AP1" s="25"/>
      <c r="AQ1" s="999" t="s">
        <v>279</v>
      </c>
      <c r="AR1" s="999"/>
      <c r="AS1" s="999"/>
      <c r="AT1" s="999"/>
      <c r="AU1" s="999"/>
      <c r="AV1" s="999"/>
      <c r="AW1" s="999"/>
      <c r="AX1" s="999"/>
      <c r="AY1" s="999"/>
      <c r="AZ1" s="999"/>
      <c r="BA1" s="999"/>
      <c r="BB1" s="712"/>
      <c r="BC1" s="92"/>
      <c r="BD1" s="712"/>
      <c r="BE1" s="1001" t="s">
        <v>280</v>
      </c>
      <c r="BF1" s="1001"/>
      <c r="BG1" s="1001"/>
      <c r="BH1" s="1001"/>
      <c r="BI1" s="712"/>
      <c r="BJ1" s="92"/>
      <c r="BK1" s="712"/>
      <c r="BL1" s="1002" t="s">
        <v>281</v>
      </c>
      <c r="BM1" s="1002"/>
      <c r="BN1" s="1002"/>
      <c r="BO1" s="1002"/>
      <c r="BP1" s="1002"/>
      <c r="BQ1" s="1002"/>
      <c r="BR1" s="1002"/>
      <c r="BS1" s="1002"/>
      <c r="BT1" s="1002"/>
      <c r="BU1" s="712"/>
      <c r="BV1" s="92"/>
      <c r="BW1" s="712"/>
      <c r="BX1" s="998" t="s">
        <v>282</v>
      </c>
      <c r="BY1" s="998"/>
      <c r="BZ1" s="998"/>
      <c r="CA1" s="998"/>
      <c r="CB1" s="998"/>
      <c r="CC1" s="998"/>
      <c r="CD1" s="998"/>
      <c r="CE1" s="998"/>
      <c r="CF1" s="712"/>
      <c r="CG1" s="92"/>
      <c r="CH1" s="712"/>
      <c r="CI1" s="998" t="s">
        <v>283</v>
      </c>
      <c r="CJ1" s="998"/>
      <c r="CK1" s="998"/>
      <c r="CL1" s="998"/>
      <c r="CM1" s="998"/>
      <c r="CN1" s="998"/>
      <c r="CO1" s="998"/>
      <c r="CP1" s="998"/>
      <c r="CQ1" s="998"/>
      <c r="CR1" s="998"/>
      <c r="CS1" s="712"/>
      <c r="CT1" s="92"/>
      <c r="CU1" s="712"/>
      <c r="CV1" s="998" t="s">
        <v>284</v>
      </c>
      <c r="CW1" s="998"/>
      <c r="CX1" s="998"/>
      <c r="CY1" s="998"/>
      <c r="CZ1" s="998"/>
      <c r="DA1" s="998"/>
      <c r="DB1" s="998"/>
      <c r="DC1" s="998"/>
      <c r="DD1" s="998"/>
      <c r="DE1" s="712"/>
      <c r="DF1" s="92"/>
      <c r="DG1" s="712"/>
      <c r="DH1" s="1003" t="s">
        <v>285</v>
      </c>
      <c r="DI1" s="1003"/>
      <c r="DJ1" s="1003"/>
      <c r="DK1" s="1003"/>
      <c r="DL1" s="1003"/>
      <c r="DM1" s="1003"/>
      <c r="DN1" s="1003"/>
      <c r="DO1" s="1003"/>
      <c r="DP1" s="1003"/>
      <c r="DQ1" s="1003"/>
      <c r="DR1" s="1003"/>
      <c r="DS1" s="1003"/>
      <c r="DT1" s="712"/>
      <c r="DU1" s="92"/>
      <c r="DV1" s="712"/>
      <c r="DW1" s="1003" t="s">
        <v>286</v>
      </c>
      <c r="DX1" s="1003"/>
      <c r="DY1" s="1003"/>
      <c r="DZ1" s="1003"/>
      <c r="EA1" s="1003"/>
      <c r="EB1" s="1003"/>
      <c r="EC1" s="712"/>
      <c r="ED1" s="92"/>
      <c r="EE1" s="712"/>
      <c r="EF1" s="1000" t="s">
        <v>287</v>
      </c>
      <c r="EG1" s="1000"/>
      <c r="EH1" s="1000"/>
      <c r="EI1" s="1000"/>
      <c r="EJ1" s="1000"/>
      <c r="EK1" s="712"/>
      <c r="EL1" s="92"/>
      <c r="EM1" s="712"/>
      <c r="EN1" s="1003" t="s">
        <v>288</v>
      </c>
      <c r="EO1" s="1003"/>
      <c r="EP1" s="1003"/>
      <c r="EQ1" s="1003"/>
      <c r="ER1" s="1003"/>
      <c r="ES1" s="1003"/>
      <c r="ET1" s="1003"/>
      <c r="EU1" s="1003"/>
      <c r="EV1" s="1003"/>
      <c r="EW1" s="1003"/>
      <c r="EX1" s="1003"/>
      <c r="EY1" s="1003"/>
      <c r="EZ1" s="712"/>
      <c r="FA1" s="92"/>
      <c r="FB1" s="712"/>
      <c r="FC1" s="1000" t="s">
        <v>289</v>
      </c>
      <c r="FD1" s="1000"/>
      <c r="FE1" s="1000"/>
      <c r="FF1" s="712"/>
      <c r="FG1" s="92"/>
      <c r="FH1" s="712"/>
      <c r="FI1" s="1003" t="s">
        <v>290</v>
      </c>
      <c r="FJ1" s="1003"/>
      <c r="FK1" s="1003"/>
      <c r="FL1" s="1003"/>
      <c r="FM1" s="1003"/>
      <c r="FN1" s="1003"/>
      <c r="FO1" s="712"/>
      <c r="FP1" s="92"/>
      <c r="FQ1" s="25"/>
      <c r="FR1" s="998" t="s">
        <v>291</v>
      </c>
      <c r="FS1" s="998"/>
      <c r="FT1" s="998"/>
      <c r="FU1" s="998"/>
      <c r="FV1" s="998"/>
      <c r="FW1" s="998"/>
      <c r="FX1" s="998"/>
      <c r="FY1" s="998"/>
      <c r="FZ1" s="998"/>
      <c r="GA1" s="998"/>
      <c r="GB1" s="998"/>
      <c r="GC1" s="998"/>
      <c r="GD1" s="714"/>
      <c r="GE1" s="92"/>
      <c r="GF1" s="25"/>
      <c r="GG1" s="999" t="s">
        <v>292</v>
      </c>
      <c r="GH1" s="999"/>
      <c r="GI1" s="999"/>
      <c r="GJ1" s="999"/>
      <c r="GK1" s="999"/>
      <c r="GL1" s="999"/>
      <c r="GM1" s="999"/>
      <c r="GN1" s="999"/>
      <c r="GO1" s="999"/>
      <c r="GP1" s="999"/>
      <c r="GQ1" s="999"/>
      <c r="GR1" s="999"/>
      <c r="GS1" s="78"/>
      <c r="GT1" s="92"/>
      <c r="GU1" s="25"/>
      <c r="GV1" s="1000" t="s">
        <v>293</v>
      </c>
      <c r="GW1" s="1000"/>
      <c r="GX1" s="1000"/>
      <c r="GY1" s="1000"/>
      <c r="GZ1" s="1000"/>
      <c r="HA1" s="1000"/>
      <c r="HB1" s="1000"/>
      <c r="HC1" s="1000"/>
      <c r="HD1" s="1000"/>
      <c r="HE1" s="715"/>
      <c r="HF1" s="92"/>
      <c r="HG1" s="25"/>
      <c r="HH1" s="1000" t="s">
        <v>294</v>
      </c>
      <c r="HI1" s="1000"/>
      <c r="HJ1" s="1000"/>
      <c r="HK1" s="1000"/>
      <c r="HL1" s="1000"/>
      <c r="HM1" s="1000"/>
      <c r="HN1" s="715"/>
      <c r="HO1" s="92"/>
      <c r="HP1" s="25"/>
      <c r="HQ1" s="998" t="s">
        <v>295</v>
      </c>
      <c r="HR1" s="998"/>
      <c r="HS1" s="998"/>
      <c r="HT1" s="998"/>
      <c r="HU1" s="998"/>
      <c r="HV1" s="998"/>
      <c r="HW1" s="998"/>
      <c r="HX1" s="998"/>
      <c r="HY1" s="998"/>
      <c r="HZ1" s="712"/>
      <c r="IA1" s="92"/>
      <c r="IB1" s="712"/>
      <c r="IC1" s="1001" t="s">
        <v>296</v>
      </c>
      <c r="ID1" s="1001"/>
      <c r="IE1" s="1001"/>
      <c r="IF1" s="1001"/>
      <c r="IG1" s="1001"/>
      <c r="IH1" s="1001"/>
      <c r="II1" s="1001"/>
      <c r="IJ1" s="1001"/>
      <c r="IK1" s="1001"/>
      <c r="IL1" s="1001"/>
      <c r="IM1" s="712"/>
      <c r="IN1" s="92"/>
      <c r="IO1" s="712"/>
      <c r="IP1" s="1001" t="s">
        <v>297</v>
      </c>
      <c r="IQ1" s="1001"/>
      <c r="IR1" s="1001"/>
      <c r="IS1" s="1001"/>
      <c r="IT1" s="1001"/>
      <c r="IU1" s="1001"/>
      <c r="IV1" s="1001"/>
      <c r="IW1" s="1001"/>
      <c r="IX1" s="1001"/>
      <c r="IY1" s="1001"/>
      <c r="IZ1" s="1001"/>
      <c r="JA1" s="1001"/>
      <c r="JB1" s="1001"/>
      <c r="JC1" s="1001"/>
      <c r="JD1" s="25"/>
      <c r="JE1" s="92"/>
      <c r="JF1" s="25"/>
      <c r="JG1" s="998" t="s">
        <v>298</v>
      </c>
      <c r="JH1" s="998"/>
      <c r="JI1" s="998"/>
      <c r="JJ1" s="998"/>
      <c r="JK1" s="998"/>
      <c r="JL1" s="998"/>
      <c r="JM1" s="998"/>
      <c r="JN1" s="998"/>
      <c r="JO1" s="998"/>
      <c r="JP1" s="25"/>
      <c r="JQ1" s="25"/>
      <c r="JR1" s="92"/>
      <c r="JS1" s="712"/>
      <c r="JT1" s="935" t="s">
        <v>448</v>
      </c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40"/>
      <c r="KH1" s="41"/>
    </row>
    <row r="2" spans="1:294" ht="82.5" x14ac:dyDescent="0.3">
      <c r="B2" s="698"/>
      <c r="C2" s="711"/>
      <c r="D2" s="699" t="s">
        <v>299</v>
      </c>
      <c r="E2" s="699" t="s">
        <v>300</v>
      </c>
      <c r="F2" s="699" t="s">
        <v>301</v>
      </c>
      <c r="G2" s="6"/>
      <c r="I2" s="6"/>
      <c r="J2" s="698"/>
      <c r="K2" s="699" t="s">
        <v>302</v>
      </c>
      <c r="L2" s="699" t="s">
        <v>303</v>
      </c>
      <c r="M2" s="699" t="s">
        <v>304</v>
      </c>
      <c r="N2" s="699" t="s">
        <v>305</v>
      </c>
      <c r="O2" s="699" t="s">
        <v>306</v>
      </c>
      <c r="P2" s="699" t="s">
        <v>307</v>
      </c>
      <c r="Q2" s="699" t="s">
        <v>308</v>
      </c>
      <c r="R2" s="699" t="s">
        <v>309</v>
      </c>
      <c r="S2" s="6"/>
      <c r="U2" s="6"/>
      <c r="V2" s="729"/>
      <c r="W2" s="160" t="s">
        <v>302</v>
      </c>
      <c r="X2" s="160" t="s">
        <v>303</v>
      </c>
      <c r="Y2" s="160" t="s">
        <v>310</v>
      </c>
      <c r="Z2" s="160" t="s">
        <v>311</v>
      </c>
      <c r="AA2" s="6"/>
      <c r="AC2" s="6"/>
      <c r="AD2" s="700"/>
      <c r="AE2" s="701" t="s">
        <v>302</v>
      </c>
      <c r="AF2" s="699" t="s">
        <v>303</v>
      </c>
      <c r="AG2" s="701" t="s">
        <v>312</v>
      </c>
      <c r="AH2" s="6"/>
      <c r="AJ2" s="6"/>
      <c r="AK2" s="698"/>
      <c r="AL2" s="699"/>
      <c r="AM2" s="699" t="s">
        <v>129</v>
      </c>
      <c r="AN2" s="46"/>
      <c r="AP2" s="46"/>
      <c r="AQ2" s="698"/>
      <c r="AR2" s="699" t="s">
        <v>302</v>
      </c>
      <c r="AS2" s="699" t="s">
        <v>303</v>
      </c>
      <c r="AT2" s="699" t="s">
        <v>313</v>
      </c>
      <c r="AU2" s="699" t="s">
        <v>314</v>
      </c>
      <c r="AV2" s="699" t="s">
        <v>315</v>
      </c>
      <c r="AW2" s="699" t="s">
        <v>316</v>
      </c>
      <c r="AX2" s="699" t="s">
        <v>317</v>
      </c>
      <c r="AY2" s="699" t="s">
        <v>318</v>
      </c>
      <c r="AZ2" s="47" t="s">
        <v>319</v>
      </c>
      <c r="BA2" s="47" t="s">
        <v>320</v>
      </c>
      <c r="BB2" s="6"/>
      <c r="BD2" s="9"/>
      <c r="BE2" s="698"/>
      <c r="BF2" s="699" t="s">
        <v>321</v>
      </c>
      <c r="BG2" s="699" t="s">
        <v>322</v>
      </c>
      <c r="BH2" s="699" t="s">
        <v>323</v>
      </c>
      <c r="BI2" s="6"/>
      <c r="BK2" s="6"/>
      <c r="BL2" s="698"/>
      <c r="BM2" s="699" t="s">
        <v>302</v>
      </c>
      <c r="BN2" s="699" t="s">
        <v>303</v>
      </c>
      <c r="BO2" s="699" t="str">
        <f>BF4</f>
        <v>Direct and Collector Labour Allocator</v>
      </c>
      <c r="BP2" s="699" t="s">
        <v>324</v>
      </c>
      <c r="BQ2" s="699" t="str">
        <f>BF5</f>
        <v>Volume Allocator</v>
      </c>
      <c r="BR2" s="699" t="s">
        <v>325</v>
      </c>
      <c r="BS2" s="699" t="s">
        <v>326</v>
      </c>
      <c r="BT2" s="699" t="s">
        <v>301</v>
      </c>
      <c r="BU2" s="6"/>
      <c r="BW2" s="6"/>
      <c r="BX2" s="698"/>
      <c r="BY2" s="722"/>
      <c r="BZ2" s="699" t="s">
        <v>327</v>
      </c>
      <c r="CA2" s="699" t="s">
        <v>328</v>
      </c>
      <c r="CB2" s="699" t="s">
        <v>329</v>
      </c>
      <c r="CC2" s="699" t="s">
        <v>330</v>
      </c>
      <c r="CD2" s="699" t="s">
        <v>331</v>
      </c>
      <c r="CE2" s="699" t="s">
        <v>332</v>
      </c>
      <c r="CF2" s="6"/>
      <c r="CH2" s="6"/>
      <c r="CI2" s="698"/>
      <c r="CJ2" s="699" t="s">
        <v>302</v>
      </c>
      <c r="CK2" s="699" t="s">
        <v>303</v>
      </c>
      <c r="CL2" s="699" t="s">
        <v>333</v>
      </c>
      <c r="CM2" s="699" t="s">
        <v>334</v>
      </c>
      <c r="CN2" s="699" t="s">
        <v>335</v>
      </c>
      <c r="CO2" s="699" t="s">
        <v>336</v>
      </c>
      <c r="CP2" s="699" t="s">
        <v>337</v>
      </c>
      <c r="CQ2" s="699" t="s">
        <v>338</v>
      </c>
      <c r="CR2" s="699" t="s">
        <v>301</v>
      </c>
      <c r="CS2" s="6"/>
      <c r="CU2" s="6"/>
      <c r="CV2" s="698"/>
      <c r="CW2" s="699" t="s">
        <v>339</v>
      </c>
      <c r="CX2" s="699" t="s">
        <v>338</v>
      </c>
      <c r="CY2" s="699" t="s">
        <v>308</v>
      </c>
      <c r="CZ2" s="723" t="s">
        <v>333</v>
      </c>
      <c r="DA2" s="699" t="str">
        <f>CX2</f>
        <v>Building Allocator</v>
      </c>
      <c r="DB2" s="699" t="str">
        <f>CY2</f>
        <v>Pallet Allocator</v>
      </c>
      <c r="DC2" s="699" t="str">
        <f>CZ2</f>
        <v>Volume Allocator</v>
      </c>
      <c r="DD2" s="699" t="s">
        <v>340</v>
      </c>
      <c r="DE2" s="6"/>
      <c r="DG2" s="6"/>
      <c r="DH2" s="698"/>
      <c r="DI2" s="699" t="s">
        <v>302</v>
      </c>
      <c r="DJ2" s="699" t="s">
        <v>303</v>
      </c>
      <c r="DK2" s="699" t="s">
        <v>338</v>
      </c>
      <c r="DL2" s="699" t="s">
        <v>341</v>
      </c>
      <c r="DM2" s="699" t="s">
        <v>308</v>
      </c>
      <c r="DN2" s="699" t="s">
        <v>342</v>
      </c>
      <c r="DO2" s="699" t="s">
        <v>333</v>
      </c>
      <c r="DP2" s="699" t="s">
        <v>343</v>
      </c>
      <c r="DQ2" s="699" t="s">
        <v>344</v>
      </c>
      <c r="DR2" s="699" t="s">
        <v>345</v>
      </c>
      <c r="DS2" s="699" t="s">
        <v>301</v>
      </c>
      <c r="DT2" s="6"/>
      <c r="DV2" s="6"/>
      <c r="DW2" s="698"/>
      <c r="DX2" s="699" t="s">
        <v>302</v>
      </c>
      <c r="DY2" s="699" t="s">
        <v>303</v>
      </c>
      <c r="DZ2" s="699" t="s">
        <v>308</v>
      </c>
      <c r="EA2" s="699" t="s">
        <v>346</v>
      </c>
      <c r="EB2" s="699" t="s">
        <v>301</v>
      </c>
      <c r="EC2" s="6"/>
      <c r="EE2" s="6"/>
      <c r="EF2" s="724"/>
      <c r="EG2" s="699" t="s">
        <v>321</v>
      </c>
      <c r="EH2" s="699" t="s">
        <v>347</v>
      </c>
      <c r="EI2" s="699" t="s">
        <v>322</v>
      </c>
      <c r="EJ2" s="699" t="s">
        <v>323</v>
      </c>
      <c r="EK2" s="6"/>
      <c r="EM2" s="6"/>
      <c r="EN2" s="698"/>
      <c r="EO2" s="699" t="s">
        <v>302</v>
      </c>
      <c r="EP2" s="699" t="s">
        <v>303</v>
      </c>
      <c r="EQ2" s="699" t="s">
        <v>311</v>
      </c>
      <c r="ER2" s="699" t="s">
        <v>348</v>
      </c>
      <c r="ES2" s="699" t="s">
        <v>338</v>
      </c>
      <c r="ET2" s="699" t="s">
        <v>349</v>
      </c>
      <c r="EU2" s="699" t="s">
        <v>333</v>
      </c>
      <c r="EV2" s="699" t="s">
        <v>350</v>
      </c>
      <c r="EW2" s="699" t="s">
        <v>351</v>
      </c>
      <c r="EX2" s="699" t="s">
        <v>345</v>
      </c>
      <c r="EY2" s="699" t="s">
        <v>301</v>
      </c>
      <c r="EZ2" s="6"/>
      <c r="FB2" s="6"/>
      <c r="FC2" s="726"/>
      <c r="FD2" s="725" t="s">
        <v>128</v>
      </c>
      <c r="FE2" s="725" t="s">
        <v>352</v>
      </c>
      <c r="FF2" s="6"/>
      <c r="FH2" s="6"/>
      <c r="FI2" s="698"/>
      <c r="FJ2" s="699" t="s">
        <v>302</v>
      </c>
      <c r="FK2" s="699" t="s">
        <v>303</v>
      </c>
      <c r="FL2" s="699" t="str">
        <f>Z2</f>
        <v>Business Cost Allocator</v>
      </c>
      <c r="FM2" s="699" t="s">
        <v>353</v>
      </c>
      <c r="FN2" s="699" t="s">
        <v>301</v>
      </c>
      <c r="FO2" s="6"/>
      <c r="FR2" s="698"/>
      <c r="FS2" s="699" t="s">
        <v>302</v>
      </c>
      <c r="FT2" s="699" t="s">
        <v>303</v>
      </c>
      <c r="FU2" s="699" t="s">
        <v>354</v>
      </c>
      <c r="FV2" s="699" t="s">
        <v>49</v>
      </c>
      <c r="FW2" s="699" t="s">
        <v>355</v>
      </c>
      <c r="FX2" s="699" t="s">
        <v>53</v>
      </c>
      <c r="FY2" s="699" t="s">
        <v>51</v>
      </c>
      <c r="FZ2" s="699" t="s">
        <v>54</v>
      </c>
      <c r="GA2" s="699" t="s">
        <v>352</v>
      </c>
      <c r="GB2" s="699" t="s">
        <v>356</v>
      </c>
      <c r="GC2" s="699" t="s">
        <v>301</v>
      </c>
      <c r="GD2" s="6"/>
      <c r="GG2" s="698"/>
      <c r="GH2" s="699" t="s">
        <v>302</v>
      </c>
      <c r="GI2" s="699" t="s">
        <v>303</v>
      </c>
      <c r="GJ2" s="699" t="s">
        <v>357</v>
      </c>
      <c r="GK2" s="699" t="s">
        <v>358</v>
      </c>
      <c r="GL2" s="699" t="s">
        <v>359</v>
      </c>
      <c r="GM2" s="699" t="s">
        <v>360</v>
      </c>
      <c r="GN2" s="699" t="s">
        <v>361</v>
      </c>
      <c r="GO2" s="699" t="s">
        <v>362</v>
      </c>
      <c r="GP2" s="699" t="s">
        <v>363</v>
      </c>
      <c r="GQ2" s="699" t="s">
        <v>301</v>
      </c>
      <c r="GR2" s="699" t="s">
        <v>119</v>
      </c>
      <c r="GS2" s="48"/>
      <c r="GV2" s="698"/>
      <c r="GW2" s="699" t="s">
        <v>302</v>
      </c>
      <c r="GX2" s="699" t="s">
        <v>303</v>
      </c>
      <c r="GY2" s="699" t="s">
        <v>309</v>
      </c>
      <c r="GZ2" s="699" t="s">
        <v>356</v>
      </c>
      <c r="HA2" s="699" t="s">
        <v>119</v>
      </c>
      <c r="HB2" s="699" t="s">
        <v>364</v>
      </c>
      <c r="HC2" s="699" t="s">
        <v>365</v>
      </c>
      <c r="HD2" s="699" t="s">
        <v>366</v>
      </c>
      <c r="HE2" s="6"/>
      <c r="HH2" s="698"/>
      <c r="HI2" s="699" t="s">
        <v>309</v>
      </c>
      <c r="HJ2" s="699" t="s">
        <v>356</v>
      </c>
      <c r="HK2" s="699" t="s">
        <v>119</v>
      </c>
      <c r="HL2" s="699" t="s">
        <v>365</v>
      </c>
      <c r="HM2" s="699" t="s">
        <v>366</v>
      </c>
      <c r="HN2" s="6"/>
      <c r="HQ2" s="698"/>
      <c r="HR2" s="727" t="s">
        <v>302</v>
      </c>
      <c r="HS2" s="727" t="str">
        <f>FT2</f>
        <v>Container Stream</v>
      </c>
      <c r="HT2" s="727" t="s">
        <v>119</v>
      </c>
      <c r="HU2" s="727" t="s">
        <v>367</v>
      </c>
      <c r="HV2" s="727" t="s">
        <v>368</v>
      </c>
      <c r="HW2" s="727" t="s">
        <v>74</v>
      </c>
      <c r="HX2" s="727" t="s">
        <v>369</v>
      </c>
      <c r="HY2" s="727" t="s">
        <v>370</v>
      </c>
      <c r="HZ2" s="6"/>
      <c r="IC2" s="727" t="s">
        <v>371</v>
      </c>
      <c r="ID2" s="727" t="s">
        <v>372</v>
      </c>
      <c r="IE2" s="727" t="s">
        <v>373</v>
      </c>
      <c r="IF2" s="727" t="s">
        <v>374</v>
      </c>
      <c r="IG2" s="727" t="s">
        <v>375</v>
      </c>
      <c r="IH2" s="727" t="s">
        <v>299</v>
      </c>
      <c r="II2" s="727" t="s">
        <v>376</v>
      </c>
      <c r="IJ2" s="727" t="s">
        <v>377</v>
      </c>
      <c r="IK2" s="727" t="s">
        <v>378</v>
      </c>
      <c r="IL2" s="727" t="s">
        <v>379</v>
      </c>
      <c r="IM2" s="6"/>
      <c r="IO2" s="6"/>
      <c r="IP2" s="698"/>
      <c r="IQ2" s="727" t="s">
        <v>302</v>
      </c>
      <c r="IR2" s="727" t="s">
        <v>303</v>
      </c>
      <c r="IS2" s="727" t="s">
        <v>356</v>
      </c>
      <c r="IT2" s="727" t="s">
        <v>119</v>
      </c>
      <c r="IU2" s="727" t="s">
        <v>380</v>
      </c>
      <c r="IV2" s="727" t="s">
        <v>381</v>
      </c>
      <c r="IW2" s="727" t="s">
        <v>382</v>
      </c>
      <c r="IX2" s="727" t="s">
        <v>383</v>
      </c>
      <c r="IY2" s="728" t="s">
        <v>384</v>
      </c>
      <c r="IZ2" s="728" t="s">
        <v>385</v>
      </c>
      <c r="JA2" s="728" t="s">
        <v>386</v>
      </c>
      <c r="JB2" s="728" t="s">
        <v>387</v>
      </c>
      <c r="JC2" s="728" t="s">
        <v>388</v>
      </c>
      <c r="JG2" s="698"/>
      <c r="JH2" s="727" t="s">
        <v>302</v>
      </c>
      <c r="JI2" s="727" t="str">
        <f>FT2</f>
        <v>Container Stream</v>
      </c>
      <c r="JJ2" s="727" t="s">
        <v>119</v>
      </c>
      <c r="JK2" s="727" t="s">
        <v>389</v>
      </c>
      <c r="JL2" s="727" t="s">
        <v>390</v>
      </c>
      <c r="JM2" s="727" t="s">
        <v>74</v>
      </c>
      <c r="JN2" s="727" t="s">
        <v>369</v>
      </c>
      <c r="JO2" s="727" t="s">
        <v>370</v>
      </c>
      <c r="JT2" s="932" t="s">
        <v>446</v>
      </c>
      <c r="JU2" s="932" t="s">
        <v>134</v>
      </c>
      <c r="JV2" s="933" t="s">
        <v>119</v>
      </c>
      <c r="JW2" s="934" t="s">
        <v>447</v>
      </c>
      <c r="JX2" s="10" t="s">
        <v>451</v>
      </c>
      <c r="KH2" s="45"/>
    </row>
    <row r="3" spans="1:294" ht="18.75" customHeight="1" x14ac:dyDescent="0.3">
      <c r="B3" s="696" t="s">
        <v>135</v>
      </c>
      <c r="C3" s="696" t="s">
        <v>136</v>
      </c>
      <c r="D3" s="696" t="s">
        <v>137</v>
      </c>
      <c r="E3" s="696" t="s">
        <v>161</v>
      </c>
      <c r="F3" s="696" t="s">
        <v>139</v>
      </c>
      <c r="G3" s="8"/>
      <c r="H3" s="112"/>
      <c r="I3" s="8"/>
      <c r="J3" s="696" t="s">
        <v>135</v>
      </c>
      <c r="K3" s="696" t="s">
        <v>136</v>
      </c>
      <c r="L3" s="696" t="s">
        <v>137</v>
      </c>
      <c r="M3" s="696" t="s">
        <v>149</v>
      </c>
      <c r="N3" s="696" t="s">
        <v>139</v>
      </c>
      <c r="O3" s="696" t="s">
        <v>140</v>
      </c>
      <c r="P3" s="696" t="s">
        <v>141</v>
      </c>
      <c r="Q3" s="696" t="s">
        <v>142</v>
      </c>
      <c r="R3" s="696" t="s">
        <v>143</v>
      </c>
      <c r="S3" s="696"/>
      <c r="T3" s="112"/>
      <c r="U3" s="696"/>
      <c r="V3" s="696" t="s">
        <v>135</v>
      </c>
      <c r="W3" s="228" t="s">
        <v>136</v>
      </c>
      <c r="X3" s="228" t="s">
        <v>137</v>
      </c>
      <c r="Y3" s="228" t="s">
        <v>149</v>
      </c>
      <c r="Z3" s="228" t="s">
        <v>139</v>
      </c>
      <c r="AA3" s="696"/>
      <c r="AB3" s="112"/>
      <c r="AC3" s="696"/>
      <c r="AD3" s="696" t="s">
        <v>135</v>
      </c>
      <c r="AE3" s="696" t="s">
        <v>136</v>
      </c>
      <c r="AF3" s="696" t="s">
        <v>137</v>
      </c>
      <c r="AG3" s="696" t="s">
        <v>149</v>
      </c>
      <c r="AH3" s="696"/>
      <c r="AI3" s="112"/>
      <c r="AJ3" s="696"/>
      <c r="AK3" s="775" t="s">
        <v>135</v>
      </c>
      <c r="AL3" s="228" t="s">
        <v>136</v>
      </c>
      <c r="AM3" s="228" t="s">
        <v>137</v>
      </c>
      <c r="AN3" s="696"/>
      <c r="AO3" s="112"/>
      <c r="AP3" s="696"/>
      <c r="AQ3" s="775" t="s">
        <v>135</v>
      </c>
      <c r="AR3" s="228" t="s">
        <v>136</v>
      </c>
      <c r="AS3" s="228" t="s">
        <v>137</v>
      </c>
      <c r="AT3" s="228" t="s">
        <v>149</v>
      </c>
      <c r="AU3" s="782" t="s">
        <v>139</v>
      </c>
      <c r="AV3" s="228" t="s">
        <v>140</v>
      </c>
      <c r="AW3" s="228" t="s">
        <v>141</v>
      </c>
      <c r="AX3" s="228" t="s">
        <v>142</v>
      </c>
      <c r="AY3" s="228" t="s">
        <v>143</v>
      </c>
      <c r="AZ3" s="696" t="s">
        <v>145</v>
      </c>
      <c r="BA3" s="696" t="s">
        <v>144</v>
      </c>
      <c r="BB3" s="696"/>
      <c r="BC3" s="112"/>
      <c r="BD3" s="696"/>
      <c r="BE3" s="696" t="s">
        <v>135</v>
      </c>
      <c r="BF3" s="696" t="s">
        <v>136</v>
      </c>
      <c r="BG3" s="696" t="s">
        <v>149</v>
      </c>
      <c r="BH3" s="696" t="s">
        <v>139</v>
      </c>
      <c r="BI3" s="696"/>
      <c r="BJ3" s="112"/>
      <c r="BK3" s="696"/>
      <c r="BL3" s="696" t="s">
        <v>135</v>
      </c>
      <c r="BM3" s="228" t="s">
        <v>136</v>
      </c>
      <c r="BN3" s="228" t="s">
        <v>137</v>
      </c>
      <c r="BO3" s="228" t="s">
        <v>161</v>
      </c>
      <c r="BP3" s="228" t="s">
        <v>139</v>
      </c>
      <c r="BQ3" s="228" t="s">
        <v>140</v>
      </c>
      <c r="BR3" s="228" t="s">
        <v>141</v>
      </c>
      <c r="BS3" s="226" t="s">
        <v>142</v>
      </c>
      <c r="BT3" s="226" t="s">
        <v>143</v>
      </c>
      <c r="BU3" s="696"/>
      <c r="BV3" s="112"/>
      <c r="BW3" s="696"/>
      <c r="BX3" s="696" t="s">
        <v>135</v>
      </c>
      <c r="BY3" s="696" t="s">
        <v>136</v>
      </c>
      <c r="BZ3" s="696" t="s">
        <v>137</v>
      </c>
      <c r="CA3" s="696" t="s">
        <v>149</v>
      </c>
      <c r="CB3" s="696" t="s">
        <v>139</v>
      </c>
      <c r="CC3" s="696" t="s">
        <v>140</v>
      </c>
      <c r="CD3" s="696" t="s">
        <v>141</v>
      </c>
      <c r="CE3" s="696" t="s">
        <v>142</v>
      </c>
      <c r="CF3" s="696"/>
      <c r="CG3" s="112"/>
      <c r="CH3" s="696"/>
      <c r="CI3" s="696" t="s">
        <v>135</v>
      </c>
      <c r="CJ3" s="696" t="s">
        <v>136</v>
      </c>
      <c r="CK3" s="696" t="s">
        <v>137</v>
      </c>
      <c r="CL3" s="696" t="s">
        <v>149</v>
      </c>
      <c r="CM3" s="696" t="s">
        <v>139</v>
      </c>
      <c r="CN3" s="696" t="s">
        <v>140</v>
      </c>
      <c r="CO3" s="696" t="s">
        <v>141</v>
      </c>
      <c r="CP3" s="696" t="s">
        <v>142</v>
      </c>
      <c r="CQ3" s="696" t="s">
        <v>143</v>
      </c>
      <c r="CR3" s="696" t="s">
        <v>144</v>
      </c>
      <c r="CS3" s="696"/>
      <c r="CT3" s="112"/>
      <c r="CU3" s="696"/>
      <c r="CV3" s="696" t="s">
        <v>135</v>
      </c>
      <c r="CW3" s="696" t="s">
        <v>136</v>
      </c>
      <c r="CX3" s="696" t="s">
        <v>137</v>
      </c>
      <c r="CY3" s="696" t="s">
        <v>161</v>
      </c>
      <c r="CZ3" s="696" t="s">
        <v>139</v>
      </c>
      <c r="DA3" s="696" t="s">
        <v>162</v>
      </c>
      <c r="DB3" s="696" t="s">
        <v>391</v>
      </c>
      <c r="DC3" s="696" t="s">
        <v>142</v>
      </c>
      <c r="DD3" s="696" t="s">
        <v>392</v>
      </c>
      <c r="DE3" s="696"/>
      <c r="DF3" s="112"/>
      <c r="DG3" s="696"/>
      <c r="DH3" s="696" t="s">
        <v>135</v>
      </c>
      <c r="DI3" s="696" t="s">
        <v>136</v>
      </c>
      <c r="DJ3" s="696" t="s">
        <v>137</v>
      </c>
      <c r="DK3" s="696" t="s">
        <v>149</v>
      </c>
      <c r="DL3" s="696" t="s">
        <v>139</v>
      </c>
      <c r="DM3" s="696" t="s">
        <v>140</v>
      </c>
      <c r="DN3" s="696" t="s">
        <v>141</v>
      </c>
      <c r="DO3" s="696" t="s">
        <v>142</v>
      </c>
      <c r="DP3" s="696" t="s">
        <v>143</v>
      </c>
      <c r="DQ3" s="696" t="s">
        <v>144</v>
      </c>
      <c r="DR3" s="696" t="s">
        <v>145</v>
      </c>
      <c r="DS3" s="696" t="s">
        <v>146</v>
      </c>
      <c r="DT3" s="696"/>
      <c r="DU3" s="112"/>
      <c r="DV3" s="696"/>
      <c r="DW3" s="696" t="s">
        <v>135</v>
      </c>
      <c r="DX3" s="696" t="s">
        <v>136</v>
      </c>
      <c r="DY3" s="696" t="s">
        <v>137</v>
      </c>
      <c r="DZ3" s="696" t="s">
        <v>149</v>
      </c>
      <c r="EA3" s="696" t="s">
        <v>139</v>
      </c>
      <c r="EB3" s="696" t="s">
        <v>162</v>
      </c>
      <c r="EC3" s="696"/>
      <c r="ED3" s="112"/>
      <c r="EE3" s="696"/>
      <c r="EF3" s="696" t="s">
        <v>135</v>
      </c>
      <c r="EG3" s="696" t="s">
        <v>136</v>
      </c>
      <c r="EH3" s="696" t="s">
        <v>137</v>
      </c>
      <c r="EI3" s="696" t="s">
        <v>149</v>
      </c>
      <c r="EJ3" s="696" t="s">
        <v>139</v>
      </c>
      <c r="EK3" s="696"/>
      <c r="EL3" s="112"/>
      <c r="EM3" s="696"/>
      <c r="EN3" s="696" t="s">
        <v>135</v>
      </c>
      <c r="EO3" s="696" t="s">
        <v>136</v>
      </c>
      <c r="EP3" s="696" t="s">
        <v>137</v>
      </c>
      <c r="EQ3" s="696" t="s">
        <v>149</v>
      </c>
      <c r="ER3" s="696" t="s">
        <v>139</v>
      </c>
      <c r="ES3" s="696" t="s">
        <v>140</v>
      </c>
      <c r="ET3" s="696" t="s">
        <v>141</v>
      </c>
      <c r="EU3" s="696" t="s">
        <v>142</v>
      </c>
      <c r="EV3" s="696" t="s">
        <v>143</v>
      </c>
      <c r="EW3" s="696" t="s">
        <v>144</v>
      </c>
      <c r="EX3" s="696" t="s">
        <v>145</v>
      </c>
      <c r="EY3" s="696" t="s">
        <v>146</v>
      </c>
      <c r="EZ3" s="696"/>
      <c r="FA3" s="112"/>
      <c r="FB3" s="696"/>
      <c r="FC3" s="696" t="s">
        <v>135</v>
      </c>
      <c r="FD3" s="696" t="s">
        <v>136</v>
      </c>
      <c r="FE3" s="696" t="s">
        <v>137</v>
      </c>
      <c r="FF3" s="696"/>
      <c r="FG3" s="112"/>
      <c r="FH3" s="696"/>
      <c r="FI3" s="696" t="s">
        <v>135</v>
      </c>
      <c r="FJ3" s="696" t="s">
        <v>136</v>
      </c>
      <c r="FK3" s="696" t="s">
        <v>137</v>
      </c>
      <c r="FL3" s="696" t="s">
        <v>149</v>
      </c>
      <c r="FM3" s="696" t="s">
        <v>139</v>
      </c>
      <c r="FN3" s="696" t="s">
        <v>162</v>
      </c>
      <c r="FO3" s="696"/>
      <c r="FP3" s="112"/>
      <c r="FQ3" s="696"/>
      <c r="FR3" s="696" t="s">
        <v>135</v>
      </c>
      <c r="FS3" s="696" t="s">
        <v>136</v>
      </c>
      <c r="FT3" s="696" t="s">
        <v>137</v>
      </c>
      <c r="FU3" s="696" t="s">
        <v>149</v>
      </c>
      <c r="FV3" s="696" t="s">
        <v>139</v>
      </c>
      <c r="FW3" s="696" t="s">
        <v>140</v>
      </c>
      <c r="FX3" s="696" t="s">
        <v>141</v>
      </c>
      <c r="FY3" s="696" t="s">
        <v>142</v>
      </c>
      <c r="FZ3" s="696" t="s">
        <v>143</v>
      </c>
      <c r="GA3" s="696" t="s">
        <v>144</v>
      </c>
      <c r="GB3" s="696" t="s">
        <v>145</v>
      </c>
      <c r="GC3" s="696" t="s">
        <v>146</v>
      </c>
      <c r="GD3" s="696"/>
      <c r="GE3" s="112"/>
      <c r="GF3" s="696"/>
      <c r="GG3" s="696" t="s">
        <v>135</v>
      </c>
      <c r="GH3" s="696" t="s">
        <v>136</v>
      </c>
      <c r="GI3" s="696" t="s">
        <v>137</v>
      </c>
      <c r="GJ3" s="696" t="s">
        <v>149</v>
      </c>
      <c r="GK3" s="696" t="s">
        <v>139</v>
      </c>
      <c r="GL3" s="696" t="s">
        <v>140</v>
      </c>
      <c r="GM3" s="696" t="s">
        <v>141</v>
      </c>
      <c r="GN3" s="696" t="s">
        <v>142</v>
      </c>
      <c r="GO3" s="696" t="s">
        <v>143</v>
      </c>
      <c r="GP3" s="696" t="s">
        <v>144</v>
      </c>
      <c r="GQ3" s="696" t="s">
        <v>145</v>
      </c>
      <c r="GR3" s="696" t="s">
        <v>146</v>
      </c>
      <c r="GS3" s="716"/>
      <c r="GT3" s="112"/>
      <c r="GU3" s="696"/>
      <c r="GV3" s="696" t="s">
        <v>135</v>
      </c>
      <c r="GW3" s="696" t="s">
        <v>136</v>
      </c>
      <c r="GX3" s="696" t="s">
        <v>137</v>
      </c>
      <c r="GY3" s="696" t="s">
        <v>149</v>
      </c>
      <c r="GZ3" s="696" t="s">
        <v>139</v>
      </c>
      <c r="HA3" s="696" t="s">
        <v>140</v>
      </c>
      <c r="HB3" s="696" t="s">
        <v>141</v>
      </c>
      <c r="HC3" s="696" t="s">
        <v>142</v>
      </c>
      <c r="HD3" s="696" t="s">
        <v>143</v>
      </c>
      <c r="HE3" s="696"/>
      <c r="HF3" s="112"/>
      <c r="HG3" s="696"/>
      <c r="HH3" s="696" t="s">
        <v>135</v>
      </c>
      <c r="HI3" s="696" t="s">
        <v>136</v>
      </c>
      <c r="HJ3" s="696" t="s">
        <v>137</v>
      </c>
      <c r="HK3" s="696" t="s">
        <v>149</v>
      </c>
      <c r="HL3" s="696" t="s">
        <v>139</v>
      </c>
      <c r="HM3" s="696" t="s">
        <v>140</v>
      </c>
      <c r="HN3" s="696"/>
      <c r="HO3" s="112"/>
      <c r="HP3" s="696"/>
      <c r="HQ3" s="696" t="s">
        <v>135</v>
      </c>
      <c r="HR3" s="696" t="s">
        <v>136</v>
      </c>
      <c r="HS3" s="696" t="s">
        <v>137</v>
      </c>
      <c r="HT3" s="696" t="s">
        <v>149</v>
      </c>
      <c r="HU3" s="696" t="s">
        <v>139</v>
      </c>
      <c r="HV3" s="696"/>
      <c r="HW3" s="696"/>
      <c r="HX3" s="696" t="s">
        <v>142</v>
      </c>
      <c r="HY3" s="696" t="s">
        <v>143</v>
      </c>
      <c r="HZ3" s="696"/>
      <c r="IA3" s="112"/>
      <c r="IB3" s="696"/>
      <c r="IC3" s="696" t="s">
        <v>136</v>
      </c>
      <c r="ID3" s="696" t="s">
        <v>137</v>
      </c>
      <c r="IE3" s="696" t="s">
        <v>149</v>
      </c>
      <c r="IF3" s="696" t="s">
        <v>139</v>
      </c>
      <c r="IG3" s="696" t="s">
        <v>140</v>
      </c>
      <c r="IH3" s="696" t="s">
        <v>141</v>
      </c>
      <c r="II3" s="696" t="s">
        <v>142</v>
      </c>
      <c r="IJ3" s="696" t="s">
        <v>143</v>
      </c>
      <c r="IK3" s="696" t="s">
        <v>144</v>
      </c>
      <c r="IL3" s="696" t="s">
        <v>145</v>
      </c>
      <c r="IM3" s="696"/>
      <c r="IN3" s="112"/>
      <c r="IO3" s="696"/>
      <c r="IP3" s="696" t="s">
        <v>135</v>
      </c>
      <c r="IQ3" s="696" t="s">
        <v>136</v>
      </c>
      <c r="IR3" s="696" t="s">
        <v>137</v>
      </c>
      <c r="IS3" s="696" t="s">
        <v>149</v>
      </c>
      <c r="IT3" s="696" t="s">
        <v>139</v>
      </c>
      <c r="IU3" s="696" t="s">
        <v>140</v>
      </c>
      <c r="IV3" s="696" t="s">
        <v>141</v>
      </c>
      <c r="IW3" s="696" t="s">
        <v>142</v>
      </c>
      <c r="IX3" s="696" t="s">
        <v>143</v>
      </c>
      <c r="IY3" s="696" t="s">
        <v>144</v>
      </c>
      <c r="IZ3" s="696" t="s">
        <v>145</v>
      </c>
      <c r="JA3" s="696" t="s">
        <v>146</v>
      </c>
      <c r="JB3" s="696" t="s">
        <v>147</v>
      </c>
      <c r="JC3" s="696" t="s">
        <v>148</v>
      </c>
      <c r="JD3" s="696"/>
      <c r="JE3" s="112"/>
      <c r="JF3" s="696"/>
      <c r="JG3" s="696" t="s">
        <v>135</v>
      </c>
      <c r="JH3" s="696" t="s">
        <v>136</v>
      </c>
      <c r="JI3" s="696" t="s">
        <v>137</v>
      </c>
      <c r="JJ3" s="696" t="s">
        <v>149</v>
      </c>
      <c r="JK3" s="696" t="s">
        <v>139</v>
      </c>
      <c r="JL3" s="696" t="s">
        <v>140</v>
      </c>
      <c r="JM3" s="696" t="s">
        <v>141</v>
      </c>
      <c r="JN3" s="696" t="s">
        <v>142</v>
      </c>
      <c r="JO3" s="696" t="s">
        <v>143</v>
      </c>
      <c r="JP3" s="696"/>
      <c r="JR3" s="112"/>
      <c r="JT3" s="936">
        <v>3.3121089265402568</v>
      </c>
      <c r="JU3" s="936">
        <f>JT3-JK4</f>
        <v>-1.1335706430057879E-2</v>
      </c>
      <c r="JV3" s="13">
        <v>1110736372</v>
      </c>
      <c r="JW3" s="13">
        <f>JJ4-JV3</f>
        <v>-4865693.6898477077</v>
      </c>
      <c r="JX3" s="935" t="s">
        <v>455</v>
      </c>
      <c r="JY3" s="912">
        <f>-SUMPRODUCT(JT3:JT26,JW3:JW26)/100</f>
        <v>644583.23101100407</v>
      </c>
      <c r="KH3" s="50"/>
    </row>
    <row r="4" spans="1:294" ht="17.25" thickBot="1" x14ac:dyDescent="0.35">
      <c r="B4" s="756">
        <v>1</v>
      </c>
      <c r="C4" s="764" t="s">
        <v>47</v>
      </c>
      <c r="D4" s="906">
        <f>'ABDA 3 month Phase I'!LJ27</f>
        <v>33880818.159826785</v>
      </c>
      <c r="E4" s="765">
        <v>0.29875344528702852</v>
      </c>
      <c r="F4" s="766">
        <v>1.545488877705318</v>
      </c>
      <c r="H4" s="152"/>
      <c r="J4" s="756">
        <v>1</v>
      </c>
      <c r="K4" s="757">
        <v>1</v>
      </c>
      <c r="L4" s="732" t="s">
        <v>398</v>
      </c>
      <c r="M4" s="904">
        <v>1105870678.3101523</v>
      </c>
      <c r="N4" s="944">
        <f>M4/$M$28</f>
        <v>0.50444792255203152</v>
      </c>
      <c r="O4" s="753">
        <v>2233.0532719472985</v>
      </c>
      <c r="P4" s="948">
        <f>IFERROR(M4/O4,0)</f>
        <v>495228.07727098931</v>
      </c>
      <c r="Q4" s="733">
        <f>P4/$P$28</f>
        <v>0.28260539867981926</v>
      </c>
      <c r="R4" s="758" t="s">
        <v>397</v>
      </c>
      <c r="T4" s="152"/>
      <c r="V4" s="730">
        <v>1</v>
      </c>
      <c r="W4" s="731">
        <f t="shared" ref="W4:W27" si="0">FS4</f>
        <v>1</v>
      </c>
      <c r="X4" s="732" t="s">
        <v>398</v>
      </c>
      <c r="Y4" s="924">
        <f>SUM(FU4:FY4)</f>
        <v>28670363.96771647</v>
      </c>
      <c r="Z4" s="944">
        <f>SUM(FU4:FY4)/SUM($FU$28:$FY$28)</f>
        <v>0.34355928462814661</v>
      </c>
      <c r="AB4" s="152"/>
      <c r="AD4" s="730">
        <v>1</v>
      </c>
      <c r="AE4" s="746">
        <v>1</v>
      </c>
      <c r="AF4" s="747" t="s">
        <v>398</v>
      </c>
      <c r="AG4" s="748">
        <v>1.94</v>
      </c>
      <c r="AI4" s="152"/>
      <c r="AK4" s="730">
        <v>1</v>
      </c>
      <c r="AL4" s="776" t="s">
        <v>394</v>
      </c>
      <c r="AM4" s="908">
        <f>'ABDA 3 month Phase I'!LJ27+'ABDA 3 month Phase I'!LL27</f>
        <v>35910255.842235319</v>
      </c>
      <c r="AN4" s="52"/>
      <c r="AO4" s="152"/>
      <c r="AP4" s="52"/>
      <c r="AQ4" s="730">
        <v>1</v>
      </c>
      <c r="AR4" s="783">
        <f t="shared" ref="AR4:AR27" si="1">FS4</f>
        <v>1</v>
      </c>
      <c r="AS4" s="732" t="s">
        <v>398</v>
      </c>
      <c r="AT4" s="732">
        <f t="shared" ref="AT4:AT27" si="2">VLOOKUP(AR4,$AE$4:$AG$27,$AT$30,FALSE)</f>
        <v>1.94</v>
      </c>
      <c r="AU4" s="784">
        <f>$M4</f>
        <v>1105870678.3101523</v>
      </c>
      <c r="AV4" s="784">
        <f>AU4*AT4/3600</f>
        <v>595941.42108935991</v>
      </c>
      <c r="AW4" s="785">
        <f t="shared" ref="AW4:AW27" si="3">AV4*$AM$5/$AV$28</f>
        <v>620377.62525573361</v>
      </c>
      <c r="AX4" s="786">
        <f t="shared" ref="AX4:AX27" si="4">$AM$6</f>
        <v>18.238489259491555</v>
      </c>
      <c r="AY4" s="379">
        <f>AW4*AX4</f>
        <v>11314750.655055575</v>
      </c>
      <c r="AZ4" s="51">
        <f>AY4/$AY$28</f>
        <v>0.31508410034071382</v>
      </c>
      <c r="BA4" s="53">
        <f t="shared" ref="BA4:BA27" si="5">IF($AU4=0,0,ROUND(IF(VLOOKUP(AR4,$AR$4:$AU$27,$BA$30,FALSE)&lt;&gt;0,AY4/VLOOKUP(AR4,$AR$4:$AU$27,$BA$30,FALSE)*100,""),6))</f>
        <v>1.023153</v>
      </c>
      <c r="BC4" s="152"/>
      <c r="BE4" s="756">
        <v>1</v>
      </c>
      <c r="BF4" s="732" t="str">
        <f>AZ2</f>
        <v>Direct and Collector Labour Allocator</v>
      </c>
      <c r="BG4" s="733">
        <v>0.5</v>
      </c>
      <c r="BH4" s="379">
        <f>BG4*$BH$6</f>
        <v>7855598.930964387</v>
      </c>
      <c r="BJ4" s="152"/>
      <c r="BL4" s="756">
        <v>1</v>
      </c>
      <c r="BM4" s="758">
        <f t="shared" ref="BM4:BM27" si="6">FS4</f>
        <v>1</v>
      </c>
      <c r="BN4" s="732" t="s">
        <v>398</v>
      </c>
      <c r="BO4" s="733">
        <f t="shared" ref="BO4:BO27" si="7">VLOOKUP(BM4,$AR$4:$AZ$28,$BO$30,FALSE)</f>
        <v>0.31508410034071382</v>
      </c>
      <c r="BP4" s="379">
        <f>BO4*$BP$28</f>
        <v>2475174.321800387</v>
      </c>
      <c r="BQ4" s="733">
        <f t="shared" ref="BQ4:BQ27" si="8">VLOOKUP(BM4,$K$4:$N$27,$BQ$30,FALSE)</f>
        <v>0.50444792255203152</v>
      </c>
      <c r="BR4" s="379">
        <f>BQ4*$BR$28</f>
        <v>3962740.5611269446</v>
      </c>
      <c r="BS4" s="807">
        <f t="shared" ref="BS4:BS27" si="9">BR4+BP4</f>
        <v>6437914.8829273321</v>
      </c>
      <c r="BT4" s="808">
        <f t="shared" ref="BT4:BT26" si="10">IF($AU4=0,0,ROUND(IF(VLOOKUP(BM4,$AR$4:$AU$27,$BA$30,FALSE)&lt;&gt;0,BS4/VLOOKUP(BM4,$AR$4:$AU$27,$BA$30,FALSE)*100,""),6))</f>
        <v>0.58215799999999995</v>
      </c>
      <c r="BV4" s="152"/>
      <c r="BX4" s="756">
        <v>1</v>
      </c>
      <c r="BY4" s="732" t="s">
        <v>395</v>
      </c>
      <c r="BZ4" s="765">
        <v>7.7020923698511642E-2</v>
      </c>
      <c r="CA4" s="821">
        <f>BZ4*$CA$9</f>
        <v>1752639.4670561224</v>
      </c>
      <c r="CB4" s="766">
        <v>1</v>
      </c>
      <c r="CC4" s="766"/>
      <c r="CD4" s="821">
        <f t="shared" ref="CD4:CE8" si="11">CB4*$CA4</f>
        <v>1752639.4670561224</v>
      </c>
      <c r="CE4" s="821">
        <f t="shared" si="11"/>
        <v>0</v>
      </c>
      <c r="CG4" s="152"/>
      <c r="CI4" s="730">
        <v>1</v>
      </c>
      <c r="CJ4" s="746">
        <f t="shared" ref="CJ4:CJ27" si="12">FS4</f>
        <v>1</v>
      </c>
      <c r="CK4" s="732" t="s">
        <v>398</v>
      </c>
      <c r="CL4" s="733">
        <f t="shared" ref="CL4:CL27" si="13">VLOOKUP(CJ4,$K$4:$N$27,$CL$31,FALSE)</f>
        <v>0.50444792255203152</v>
      </c>
      <c r="CM4" s="379">
        <f t="shared" ref="CM4:CM27" si="14">CL4*$CM$28</f>
        <v>2700935.3077215659</v>
      </c>
      <c r="CN4" s="733">
        <f t="shared" ref="CN4:CN27" si="15">VLOOKUP(CJ4,$K$4:$Q$27,$CN$31,FALSE)</f>
        <v>0.28260539867981926</v>
      </c>
      <c r="CO4" s="379">
        <f t="shared" ref="CO4:CO27" si="16">CN4*$CO$28</f>
        <v>4917652.6975591481</v>
      </c>
      <c r="CP4" s="379">
        <f t="shared" ref="CP4:CP27" si="17">CO4+CM4</f>
        <v>7618588.0052807145</v>
      </c>
      <c r="CQ4" s="733">
        <f t="shared" ref="CQ4:CQ27" si="18">CP4/$CP$28</f>
        <v>0.33480398934000039</v>
      </c>
      <c r="CR4" s="808">
        <f t="shared" ref="CR4:CR27" si="19">IF($AU4=0,0,ROUND(IF(VLOOKUP(CJ4,$AR$4:$AU$27,$BA$30,FALSE)&lt;&gt;0,CP4/VLOOKUP(CJ4,$AR$4:$AU$27,$BA$30,FALSE)*100,""),6))</f>
        <v>0.68892200000000003</v>
      </c>
      <c r="CT4" s="152"/>
      <c r="CV4" s="756">
        <v>1</v>
      </c>
      <c r="CW4" s="831" t="s">
        <v>393</v>
      </c>
      <c r="CX4" s="733">
        <v>0</v>
      </c>
      <c r="CY4" s="733">
        <v>0.5</v>
      </c>
      <c r="CZ4" s="832">
        <v>0.5</v>
      </c>
      <c r="DA4" s="906">
        <v>0</v>
      </c>
      <c r="DB4" s="906">
        <f>DD4*0.5</f>
        <v>1944723.4568575758</v>
      </c>
      <c r="DC4" s="906">
        <f>DB4</f>
        <v>1944723.4568575758</v>
      </c>
      <c r="DD4" s="906">
        <f>$DD$7*DD11</f>
        <v>3889446.9137151516</v>
      </c>
      <c r="DF4" s="152"/>
      <c r="DH4" s="730">
        <v>1</v>
      </c>
      <c r="DI4" s="840">
        <f t="shared" ref="DI4:DI27" si="20">FS4</f>
        <v>1</v>
      </c>
      <c r="DJ4" s="732" t="s">
        <v>398</v>
      </c>
      <c r="DK4" s="733">
        <f t="shared" ref="DK4:DK27" si="21">VLOOKUP(DI4,$CJ$4:$CQ$27,$DK$31,FALSE)</f>
        <v>0.33480398934000039</v>
      </c>
      <c r="DL4" s="379">
        <f>DK4*$DL$28</f>
        <v>105207.01462174304</v>
      </c>
      <c r="DM4" s="733">
        <f t="shared" ref="DM4:DM27" si="22">VLOOKUP(DI4,$K$4:$R$27,$DM$31,FALSE)</f>
        <v>0.28260539867981926</v>
      </c>
      <c r="DN4" s="379">
        <f t="shared" ref="DN4:DN27" si="23">DM4*$DN$28</f>
        <v>549589.34784723155</v>
      </c>
      <c r="DO4" s="733">
        <f t="shared" ref="DO4:DO27" si="24">VLOOKUP(DI4,$K$4:$R$27,$DO$31,FALSE)</f>
        <v>0.50444792255203152</v>
      </c>
      <c r="DP4" s="379">
        <f t="shared" ref="DP4:DP27" si="25">DO4*$DP$28</f>
        <v>1633337.6260036877</v>
      </c>
      <c r="DQ4" s="379">
        <f>DL4+DN4+DP4</f>
        <v>2288133.9884726624</v>
      </c>
      <c r="DR4" s="733">
        <f t="shared" ref="DR4:DR27" si="26">DQ4/$DQ$28</f>
        <v>0.41626429969930118</v>
      </c>
      <c r="DS4" s="808">
        <f t="shared" ref="DS4:DS27" si="27">IF($AU4=0,0,ROUND(IF(VLOOKUP(DI4,$AR$4:$AU$27,$BA$30,FALSE)&lt;&gt;0,DQ4/VLOOKUP(DI4,$AR$4:$AU$27,$BA$30,FALSE)*100,""),6))</f>
        <v>0.20690800000000001</v>
      </c>
      <c r="DU4" s="152"/>
      <c r="DW4" s="730">
        <v>1</v>
      </c>
      <c r="DX4" s="840">
        <f t="shared" ref="DX4:DX27" si="28">GH4</f>
        <v>1</v>
      </c>
      <c r="DY4" s="732" t="s">
        <v>398</v>
      </c>
      <c r="DZ4" s="733">
        <f t="shared" ref="DZ4:DZ27" si="29">VLOOKUP(DX4,$K$4:$R$27,$DZ$32,FALSE)</f>
        <v>0.28260539867981926</v>
      </c>
      <c r="EA4" s="379">
        <f t="shared" ref="EA4:EA27" si="30">DZ4*$EA$28</f>
        <v>1010976.4359801842</v>
      </c>
      <c r="EB4" s="808">
        <f t="shared" ref="EB4:EB27" si="31">IF($AU4=0,0,ROUND(IF(VLOOKUP(DX4,$AR$4:$AU$27,$BA$30,FALSE)&lt;&gt;0,EA4/VLOOKUP(DX4,$AR$4:$AU$27,$BA$30,FALSE)*100,""),6))</f>
        <v>9.1419E-2</v>
      </c>
      <c r="ED4" s="152"/>
      <c r="EF4" s="756">
        <v>1</v>
      </c>
      <c r="EG4" s="732" t="s">
        <v>396</v>
      </c>
      <c r="EH4" s="379">
        <v>6463181.7817969695</v>
      </c>
      <c r="EI4" s="765">
        <f>EH4/$EH$7</f>
        <v>0.66842565170833068</v>
      </c>
      <c r="EJ4" s="379">
        <f>EI4*$EJ$7</f>
        <v>7119273.4495097687</v>
      </c>
      <c r="EL4" s="152"/>
      <c r="EN4" s="730">
        <v>1</v>
      </c>
      <c r="EO4" s="840">
        <f t="shared" ref="EO4:EO27" si="32">FS4</f>
        <v>1</v>
      </c>
      <c r="EP4" s="732" t="s">
        <v>398</v>
      </c>
      <c r="EQ4" s="733">
        <f t="shared" ref="EQ4:EQ27" si="33">VLOOKUP(EO4,$W$4:$Z$27,$EQ$31,FALSE)</f>
        <v>0.34355928462814661</v>
      </c>
      <c r="ER4" s="379">
        <f t="shared" ref="ER4:ER27" si="34">EQ4*$ER$28</f>
        <v>2445892.4933857336</v>
      </c>
      <c r="ES4" s="733">
        <f t="shared" ref="ES4:ES27" si="35">VLOOKUP(EO4,$CJ$4:$CQ$27,$ES$31,FALSE)</f>
        <v>0.33480398934000039</v>
      </c>
      <c r="ET4" s="379">
        <f t="shared" ref="ET4:ET27" si="36">ES4*$ET$28</f>
        <v>321369.83899018966</v>
      </c>
      <c r="EU4" s="733">
        <f t="shared" ref="EU4:EU27" si="37">VLOOKUP(EO4,$K$4:$N$27,$EU$31,FALSE)</f>
        <v>0.50444792255203152</v>
      </c>
      <c r="EV4" s="379">
        <f t="shared" ref="EV4:EV27" si="38">EU4*$EV$28</f>
        <v>1297268.6580785173</v>
      </c>
      <c r="EW4" s="379">
        <f t="shared" ref="EW4:EW27" si="39">ER4+ET4+EV4</f>
        <v>4064530.9904544405</v>
      </c>
      <c r="EX4" s="733">
        <f t="shared" ref="EX4:EX27" si="40">EW4/$EW$28</f>
        <v>0.38161714049209566</v>
      </c>
      <c r="EY4" s="808">
        <f t="shared" ref="EY4:EY27" si="41">IF($AU4=0,0,ROUND(IF(VLOOKUP(EO4,$AR$4:$AU$27,$BA$30,FALSE)&lt;&gt;0,EW4/VLOOKUP(EO4,$AR$4:$AU$27,$BA$30,FALSE)*100,""),6))</f>
        <v>0.36754100000000001</v>
      </c>
      <c r="FA4" s="152"/>
      <c r="FC4" s="756">
        <v>1</v>
      </c>
      <c r="FD4" s="764" t="s">
        <v>250</v>
      </c>
      <c r="FE4" s="379">
        <f>D11</f>
        <v>18998322.143907189</v>
      </c>
      <c r="FG4" s="152"/>
      <c r="FI4" s="730">
        <v>1</v>
      </c>
      <c r="FJ4" s="731">
        <f t="shared" ref="FJ4:FJ27" si="42">FS4</f>
        <v>1</v>
      </c>
      <c r="FK4" s="732" t="s">
        <v>398</v>
      </c>
      <c r="FL4" s="733">
        <f t="shared" ref="FL4:FL27" si="43">Z4</f>
        <v>0.34355928462814661</v>
      </c>
      <c r="FM4" s="379">
        <f t="shared" ref="FM4:FM27" si="44">Z4*$FM$28</f>
        <v>6456725.5823455723</v>
      </c>
      <c r="FN4" s="808">
        <f t="shared" ref="FN4:FN27" si="45">IF($AU4=0,0,ROUND(IF(VLOOKUP(FJ4,$AR$4:$AU$27,$BA$30,FALSE)&lt;&gt;0,FM4/VLOOKUP(FJ4,$AR$4:$AU$27,$BA$30,FALSE)*100,""),6))</f>
        <v>0.58385900000000002</v>
      </c>
      <c r="FP4" s="152"/>
      <c r="FR4" s="730">
        <v>1</v>
      </c>
      <c r="FS4" s="731">
        <v>1</v>
      </c>
      <c r="FT4" s="732" t="s">
        <v>398</v>
      </c>
      <c r="FU4" s="379">
        <f t="shared" ref="FU4:FU27" si="46">VLOOKUP(FS4,$AR$4:$BA$27,$FU$30,FALSE)</f>
        <v>11314750.655055575</v>
      </c>
      <c r="FV4" s="379">
        <f t="shared" ref="FV4:FV27" si="47">VLOOKUP(FS4,$BM$4:$BT$86,$FV$30,FALSE)</f>
        <v>6437914.8829273321</v>
      </c>
      <c r="FW4" s="379">
        <f t="shared" ref="FW4:FW27" si="48">VLOOKUP(FS4,$CJ$4:$CR$27,$FW$30,FALSE)</f>
        <v>7618588.0052807145</v>
      </c>
      <c r="FX4" s="379">
        <f t="shared" ref="FX4:FX27" si="49">VLOOKUP(FS4,$DI$4:$DQ$27,$FX$30,FALSE)</f>
        <v>2288133.9884726624</v>
      </c>
      <c r="FY4" s="379">
        <f t="shared" ref="FY4:FY27" si="50">VLOOKUP(FS4,$DX$4:$EB$27,$FY$30,FALSE)</f>
        <v>1010976.4359801842</v>
      </c>
      <c r="FZ4" s="379">
        <f t="shared" ref="FZ4:FZ27" si="51">VLOOKUP(FS4,$EO$4:$EW$28,$FZ$31,FALSE)</f>
        <v>4064530.9904544405</v>
      </c>
      <c r="GA4" s="379">
        <f t="shared" ref="GA4:GA27" si="52">VLOOKUP(FS4,$FJ$4:$FM$27,$GA$30,FALSE)</f>
        <v>6456725.5823455723</v>
      </c>
      <c r="GB4" s="379">
        <f t="shared" ref="GB4:GB23" si="53">SUM(FU4:GA4)</f>
        <v>39191620.540516481</v>
      </c>
      <c r="GC4" s="852">
        <f t="shared" ref="GC4:GC27" si="54">IF($AU4=0,0,ROUND(IF(VLOOKUP(FS4,$AR$4:$AU$27,$BA$30,FALSE)&lt;&gt;0,GB4/VLOOKUP(FS4,$AR$4:$AU$27,$BA$30,FALSE)*100,""),6))</f>
        <v>3.5439609999999999</v>
      </c>
      <c r="GE4" s="152"/>
      <c r="GG4" s="730">
        <v>1</v>
      </c>
      <c r="GH4" s="731">
        <f t="shared" ref="GH4:GH27" si="55">FS4</f>
        <v>1</v>
      </c>
      <c r="GI4" s="732" t="s">
        <v>398</v>
      </c>
      <c r="GJ4" s="808">
        <f t="shared" ref="GJ4:GJ27" si="56">VLOOKUP(GH4,$AR$4:$BA$27,$GJ$30,FALSE)</f>
        <v>1.023153</v>
      </c>
      <c r="GK4" s="808">
        <f t="shared" ref="GK4:GK27" si="57">VLOOKUP(GH4,$BM$4:$BT$27,$GK$30,FALSE)</f>
        <v>0.58215799999999995</v>
      </c>
      <c r="GL4" s="808">
        <f t="shared" ref="GL4:GL27" si="58">VLOOKUP(GH4,$CJ$4:$CR$27,$GL$30,FALSE)</f>
        <v>0.68892200000000003</v>
      </c>
      <c r="GM4" s="808">
        <f t="shared" ref="GM4:GM27" si="59">VLOOKUP(GH4,$DI$4:$DS$27,$GM$30,FALSE)</f>
        <v>0.20690800000000001</v>
      </c>
      <c r="GN4" s="808">
        <f t="shared" ref="GN4:GN27" si="60">VLOOKUP(GH4,$DX$4:$EB$27,$GN$30,FALSE)</f>
        <v>9.1419E-2</v>
      </c>
      <c r="GO4" s="808">
        <f t="shared" ref="GO4:GO27" si="61">VLOOKUP(GH4,$EO$4:$EY$28,$GO$30,FALSE)</f>
        <v>0.36754100000000001</v>
      </c>
      <c r="GP4" s="808">
        <f t="shared" ref="GP4:GP27" si="62">VLOOKUP(GH4,$FJ$4:$FN$27,$GP$30,FALSE)</f>
        <v>0.58385900000000002</v>
      </c>
      <c r="GQ4" s="808">
        <f t="shared" ref="GQ4:GQ27" si="63">VLOOKUP(GH4,$FS$4:$GC$27,$GQ$30,FALSE)</f>
        <v>3.5439609999999999</v>
      </c>
      <c r="GR4" s="784">
        <f>$M4</f>
        <v>1105870678.3101523</v>
      </c>
      <c r="GS4" s="716"/>
      <c r="GT4" s="152"/>
      <c r="GV4" s="717">
        <v>1</v>
      </c>
      <c r="GW4" s="731">
        <v>1</v>
      </c>
      <c r="GX4" s="732" t="s">
        <v>398</v>
      </c>
      <c r="GY4" s="758" t="s">
        <v>397</v>
      </c>
      <c r="GZ4" s="906">
        <f>GB4</f>
        <v>39191620.540516481</v>
      </c>
      <c r="HA4" s="784">
        <f>$M4</f>
        <v>1105870678.3101523</v>
      </c>
      <c r="HB4" s="922">
        <f>ROUND(IF(HA4&lt;&gt;0,GZ4/HA4*100,0),6)</f>
        <v>3.5439609999999999</v>
      </c>
      <c r="HC4" s="942">
        <f>ROUND(HB4,10)*HA4/100</f>
        <v>39191625.549747258</v>
      </c>
      <c r="HD4" s="857">
        <v>-3.4865899011492729</v>
      </c>
      <c r="HE4" s="54"/>
      <c r="HF4" s="152"/>
      <c r="HH4" s="756">
        <v>1</v>
      </c>
      <c r="HI4" s="732" t="s">
        <v>397</v>
      </c>
      <c r="HJ4" s="861">
        <v>110332325.27195437</v>
      </c>
      <c r="HK4" s="926">
        <f>HJ4/$HJ$6</f>
        <v>0.9815824312040301</v>
      </c>
      <c r="HL4" s="927">
        <f>SUMIF($GY$4:$GY$27,$HI4,HC$4:HC$27)</f>
        <v>110686611.16044208</v>
      </c>
      <c r="HM4" s="857">
        <v>-3.0492196594498182</v>
      </c>
      <c r="HN4" s="54"/>
      <c r="HO4" s="152"/>
      <c r="HQ4" s="730">
        <v>1</v>
      </c>
      <c r="HR4" s="867">
        <v>1</v>
      </c>
      <c r="HS4" s="732" t="s">
        <v>398</v>
      </c>
      <c r="HT4" s="784">
        <f>$M4</f>
        <v>1105870678.3101523</v>
      </c>
      <c r="HU4" s="917">
        <f>HB4</f>
        <v>3.5439609999999999</v>
      </c>
      <c r="HV4" s="868"/>
      <c r="HW4" s="765"/>
      <c r="HX4" s="868">
        <v>-0.76812300000000011</v>
      </c>
      <c r="HY4" s="766">
        <v>10</v>
      </c>
      <c r="IA4" s="152"/>
      <c r="IC4" s="876">
        <v>2112495296</v>
      </c>
      <c r="ID4" s="876">
        <f>M28</f>
        <v>2192239533.301055</v>
      </c>
      <c r="IE4" s="877">
        <f>(ID4-IC4)/IC4</f>
        <v>3.7748835442166569E-2</v>
      </c>
      <c r="IF4" s="876">
        <v>1500000</v>
      </c>
      <c r="IG4" s="878">
        <f>HU28</f>
        <v>5.1497764791198506</v>
      </c>
      <c r="IH4" s="879">
        <f>IG4*ID4/100</f>
        <v>112895435.85190451</v>
      </c>
      <c r="II4" s="880">
        <v>1.4999999999999999E-2</v>
      </c>
      <c r="IJ4" s="940">
        <v>317261869.99999994</v>
      </c>
      <c r="IK4" s="877">
        <f>IJ4/ID4</f>
        <v>0.14472044007083013</v>
      </c>
      <c r="IL4" s="877">
        <f>SUM(HT8,HT15,HT17,HT23:HT24,HT27)/HT28</f>
        <v>1.5580280818693181E-2</v>
      </c>
      <c r="IN4" s="152"/>
      <c r="IP4" s="730">
        <v>1</v>
      </c>
      <c r="IQ4" s="867">
        <v>1</v>
      </c>
      <c r="IR4" s="732" t="s">
        <v>398</v>
      </c>
      <c r="IS4" s="913">
        <f>HC4</f>
        <v>39191625.549747258</v>
      </c>
      <c r="IT4" s="915">
        <f>$M4</f>
        <v>1105870678.3101523</v>
      </c>
      <c r="IU4" s="918">
        <f>HB4</f>
        <v>3.5439609999999999</v>
      </c>
      <c r="IV4" s="904">
        <f>IT4*$IK$4/(1-$IL$4)</f>
        <v>162575056.25707269</v>
      </c>
      <c r="IW4" s="904">
        <f>IT4-IV4</f>
        <v>943295622.05307961</v>
      </c>
      <c r="IX4" s="913">
        <f>IV4*$II$4</f>
        <v>2438625.8438560902</v>
      </c>
      <c r="IY4" s="881">
        <f>IS4-IX4</f>
        <v>36752999.70589117</v>
      </c>
      <c r="IZ4" s="928">
        <f>100*IY4/IT4</f>
        <v>3.3234446329703147</v>
      </c>
      <c r="JA4" s="928">
        <f>IZ4+1.5</f>
        <v>4.8234446329703147</v>
      </c>
      <c r="JB4" s="913">
        <f>(IV4*JA4+IW4*IZ4)/100</f>
        <v>39191625.549747258</v>
      </c>
      <c r="JC4" s="852">
        <v>0.22223277175728606</v>
      </c>
      <c r="JE4" s="152"/>
      <c r="JG4" s="730">
        <v>1</v>
      </c>
      <c r="JH4" s="867">
        <v>1</v>
      </c>
      <c r="JI4" s="732" t="s">
        <v>398</v>
      </c>
      <c r="JJ4" s="784">
        <f>$M4</f>
        <v>1105870678.3101523</v>
      </c>
      <c r="JK4" s="917">
        <f>IZ4</f>
        <v>3.3234446329703147</v>
      </c>
      <c r="JL4" s="868">
        <v>4.1070000000000002</v>
      </c>
      <c r="JM4" s="765"/>
      <c r="JN4" s="868"/>
      <c r="JO4" s="766">
        <v>10</v>
      </c>
      <c r="JR4" s="152"/>
      <c r="JT4" s="936">
        <v>40.789676926540267</v>
      </c>
      <c r="JU4" s="936">
        <f t="shared" ref="JU4:JU27" si="64">JT4-JK5</f>
        <v>-0.15052970643004215</v>
      </c>
      <c r="JV4" s="13">
        <v>986723</v>
      </c>
      <c r="JW4" s="13">
        <f t="shared" ref="JW4:JW27" si="65">JJ5-JV4</f>
        <v>9242.9059918523999</v>
      </c>
      <c r="JX4" s="935" t="s">
        <v>454</v>
      </c>
      <c r="JY4" s="912">
        <f>-SUMPRODUCT(JU3:JU26,JJ4:JJ27)/100</f>
        <v>376654.62449921382</v>
      </c>
    </row>
    <row r="5" spans="1:294" x14ac:dyDescent="0.3">
      <c r="B5" s="338">
        <v>2</v>
      </c>
      <c r="C5" s="767" t="s">
        <v>58</v>
      </c>
      <c r="D5" s="906">
        <f>'ABDA 3 month Phase I'!LL27</f>
        <v>2029437.6824085335</v>
      </c>
      <c r="E5" s="768">
        <v>1.7895125694862252E-2</v>
      </c>
      <c r="F5" s="769">
        <v>9.2573719777447133E-2</v>
      </c>
      <c r="H5" s="225"/>
      <c r="J5" s="338">
        <v>2</v>
      </c>
      <c r="K5" s="759">
        <v>2</v>
      </c>
      <c r="L5" s="518" t="s">
        <v>403</v>
      </c>
      <c r="M5" s="904">
        <v>995965.9059918524</v>
      </c>
      <c r="N5" s="943">
        <f t="shared" ref="N5:N27" si="66">M5/$M$28</f>
        <v>4.5431436248763186E-4</v>
      </c>
      <c r="O5" s="455">
        <v>109.75779727095517</v>
      </c>
      <c r="P5" s="948">
        <f t="shared" ref="P5:P27" si="67">IFERROR(M5/O5,0)</f>
        <v>9074.2155068322554</v>
      </c>
      <c r="Q5" s="659">
        <f t="shared" ref="Q5:Q27" si="68">P5/$P$28</f>
        <v>5.1782651443077875E-3</v>
      </c>
      <c r="R5" s="322" t="s">
        <v>397</v>
      </c>
      <c r="T5" s="225"/>
      <c r="V5" s="734">
        <f>+V4+1</f>
        <v>2</v>
      </c>
      <c r="W5" s="735">
        <f t="shared" si="0"/>
        <v>2</v>
      </c>
      <c r="X5" s="518" t="s">
        <v>403</v>
      </c>
      <c r="Y5" s="924">
        <f t="shared" ref="Y5:Y27" si="69">SUM(FU5:FY5)</f>
        <v>308942.99798680312</v>
      </c>
      <c r="Z5" s="943">
        <f t="shared" ref="Z5:Z27" si="70">SUM(FU5:FY5)/SUM($FU$28:$FY$28)</f>
        <v>3.7020888712378229E-3</v>
      </c>
      <c r="AB5" s="225"/>
      <c r="AD5" s="734">
        <v>2</v>
      </c>
      <c r="AE5" s="146">
        <v>2</v>
      </c>
      <c r="AF5" s="347" t="s">
        <v>403</v>
      </c>
      <c r="AG5" s="369">
        <v>28.35</v>
      </c>
      <c r="AI5" s="225"/>
      <c r="AK5" s="734">
        <v>2</v>
      </c>
      <c r="AL5" s="777" t="s">
        <v>399</v>
      </c>
      <c r="AM5" s="778">
        <v>1968927.1041759744</v>
      </c>
      <c r="AN5" s="52"/>
      <c r="AO5" s="225"/>
      <c r="AP5" s="52"/>
      <c r="AQ5" s="734">
        <f t="shared" ref="AQ5:AQ27" si="71">+AQ4+1</f>
        <v>2</v>
      </c>
      <c r="AR5" s="787">
        <f t="shared" si="1"/>
        <v>2</v>
      </c>
      <c r="AS5" s="518" t="s">
        <v>403</v>
      </c>
      <c r="AT5" s="518">
        <f t="shared" si="2"/>
        <v>28.35</v>
      </c>
      <c r="AU5" s="788">
        <f t="shared" ref="AU5:AU27" si="72">$M5</f>
        <v>995965.9059918524</v>
      </c>
      <c r="AV5" s="788">
        <f>AU5*AT5/3600</f>
        <v>7843.2315096858383</v>
      </c>
      <c r="AW5" s="789">
        <f t="shared" si="3"/>
        <v>8164.8382980585502</v>
      </c>
      <c r="AX5" s="790">
        <f t="shared" si="4"/>
        <v>18.238489259491555</v>
      </c>
      <c r="AY5" s="358">
        <f>AW5*AX5</f>
        <v>148914.31560462617</v>
      </c>
      <c r="AZ5" s="35">
        <f t="shared" ref="AZ5:AZ28" si="73">AY5/$AY$28</f>
        <v>4.1468464123132981E-3</v>
      </c>
      <c r="BA5" s="55">
        <f t="shared" si="5"/>
        <v>14.951748</v>
      </c>
      <c r="BC5" s="225"/>
      <c r="BE5" s="338">
        <v>2</v>
      </c>
      <c r="BF5" s="565" t="s">
        <v>333</v>
      </c>
      <c r="BG5" s="697">
        <v>0.5</v>
      </c>
      <c r="BH5" s="804">
        <f>BG5*$BH$6</f>
        <v>7855598.930964387</v>
      </c>
      <c r="BJ5" s="225"/>
      <c r="BL5" s="338">
        <f>+BL4+1</f>
        <v>2</v>
      </c>
      <c r="BM5" s="322">
        <f t="shared" si="6"/>
        <v>2</v>
      </c>
      <c r="BN5" s="518" t="s">
        <v>403</v>
      </c>
      <c r="BO5" s="659">
        <f t="shared" si="7"/>
        <v>4.1468464123132981E-3</v>
      </c>
      <c r="BP5" s="358">
        <f t="shared" ref="BP5:BP27" si="74">BO5*$BP$28</f>
        <v>32575.962243441849</v>
      </c>
      <c r="BQ5" s="659">
        <f t="shared" si="8"/>
        <v>4.5431436248763186E-4</v>
      </c>
      <c r="BR5" s="358">
        <f t="shared" ref="BR5:BR27" si="75">BQ5*$BR$28</f>
        <v>3568.9114202796077</v>
      </c>
      <c r="BS5" s="809">
        <f t="shared" si="9"/>
        <v>36144.873663721453</v>
      </c>
      <c r="BT5" s="810">
        <f t="shared" si="10"/>
        <v>3.6291280000000001</v>
      </c>
      <c r="BV5" s="225"/>
      <c r="BX5" s="338">
        <f>+BX4+1</f>
        <v>2</v>
      </c>
      <c r="BY5" s="518" t="s">
        <v>400</v>
      </c>
      <c r="BZ5" s="822">
        <v>0.15827477051315791</v>
      </c>
      <c r="CA5" s="823">
        <f>BZ5*$CA$9</f>
        <v>3601600.6575882137</v>
      </c>
      <c r="CB5" s="824">
        <v>1</v>
      </c>
      <c r="CC5" s="824"/>
      <c r="CD5" s="823">
        <f>CB5*$CA5</f>
        <v>3601600.6575882137</v>
      </c>
      <c r="CE5" s="823">
        <f t="shared" si="11"/>
        <v>0</v>
      </c>
      <c r="CG5" s="225"/>
      <c r="CI5" s="734">
        <f>+CI4+1</f>
        <v>2</v>
      </c>
      <c r="CJ5" s="146">
        <f t="shared" si="12"/>
        <v>2</v>
      </c>
      <c r="CK5" s="518" t="s">
        <v>403</v>
      </c>
      <c r="CL5" s="344">
        <f t="shared" si="13"/>
        <v>4.5431436248763186E-4</v>
      </c>
      <c r="CM5" s="20">
        <f t="shared" si="14"/>
        <v>2432.5081888334903</v>
      </c>
      <c r="CN5" s="344">
        <f t="shared" si="15"/>
        <v>5.1782651443077875E-3</v>
      </c>
      <c r="CO5" s="20">
        <f t="shared" si="16"/>
        <v>90107.654257633054</v>
      </c>
      <c r="CP5" s="20">
        <f t="shared" si="17"/>
        <v>92540.162446466551</v>
      </c>
      <c r="CQ5" s="344">
        <f t="shared" si="18"/>
        <v>4.0667398656776552E-3</v>
      </c>
      <c r="CR5" s="342">
        <f t="shared" si="19"/>
        <v>9.291499</v>
      </c>
      <c r="CT5" s="225"/>
      <c r="CV5" s="338">
        <v>2</v>
      </c>
      <c r="CW5" s="104" t="s">
        <v>50</v>
      </c>
      <c r="CX5" s="344">
        <v>1</v>
      </c>
      <c r="CY5" s="344">
        <v>0</v>
      </c>
      <c r="CZ5" s="833">
        <v>0</v>
      </c>
      <c r="DA5" s="906">
        <f>DD5</f>
        <v>314234.65063584753</v>
      </c>
      <c r="DB5" s="906">
        <v>0</v>
      </c>
      <c r="DC5" s="906">
        <v>0</v>
      </c>
      <c r="DD5" s="906">
        <f t="shared" ref="DD5:DD6" si="76">$DD$7*DD12</f>
        <v>314234.65063584753</v>
      </c>
      <c r="DF5" s="225"/>
      <c r="DH5" s="734">
        <v>2</v>
      </c>
      <c r="DI5" s="745">
        <f t="shared" si="20"/>
        <v>2</v>
      </c>
      <c r="DJ5" s="518" t="s">
        <v>403</v>
      </c>
      <c r="DK5" s="344">
        <f t="shared" si="21"/>
        <v>4.0667398656776552E-3</v>
      </c>
      <c r="DL5" s="20">
        <f t="shared" ref="DL5:DL27" si="77">DK5*$DL$28</f>
        <v>1277.9105809180915</v>
      </c>
      <c r="DM5" s="344">
        <f t="shared" si="22"/>
        <v>5.1782651443077875E-3</v>
      </c>
      <c r="DN5" s="20">
        <f t="shared" si="23"/>
        <v>10070.293691963334</v>
      </c>
      <c r="DO5" s="344">
        <f t="shared" si="24"/>
        <v>4.5431436248763186E-4</v>
      </c>
      <c r="DP5" s="20">
        <f t="shared" si="25"/>
        <v>1471.011593289669</v>
      </c>
      <c r="DQ5" s="20">
        <f t="shared" ref="DQ5:DQ27" si="78">DL5+DN5+DP5</f>
        <v>12819.215866171095</v>
      </c>
      <c r="DR5" s="344">
        <f t="shared" si="26"/>
        <v>2.3321107689099107E-3</v>
      </c>
      <c r="DS5" s="342">
        <f t="shared" si="27"/>
        <v>1.2871140000000001</v>
      </c>
      <c r="DU5" s="225"/>
      <c r="DW5" s="734">
        <f>+DW4+1</f>
        <v>2</v>
      </c>
      <c r="DX5" s="745">
        <f t="shared" si="28"/>
        <v>2</v>
      </c>
      <c r="DY5" s="518" t="s">
        <v>403</v>
      </c>
      <c r="DZ5" s="344">
        <f t="shared" si="29"/>
        <v>5.1782651443077875E-3</v>
      </c>
      <c r="EA5" s="20">
        <f t="shared" si="30"/>
        <v>18524.430405817784</v>
      </c>
      <c r="EB5" s="342">
        <f t="shared" si="31"/>
        <v>1.8599460000000001</v>
      </c>
      <c r="ED5" s="225"/>
      <c r="EF5" s="338">
        <v>2</v>
      </c>
      <c r="EG5" s="518" t="s">
        <v>50</v>
      </c>
      <c r="EH5" s="20">
        <v>871415.31349090894</v>
      </c>
      <c r="EI5" s="768">
        <f>EH5/$EH$7</f>
        <v>9.0122229034200738E-2</v>
      </c>
      <c r="EJ5" s="20">
        <f>EI5*$EJ$7</f>
        <v>959874.58101591479</v>
      </c>
      <c r="EL5" s="225"/>
      <c r="EN5" s="734">
        <f>+EN4+1</f>
        <v>2</v>
      </c>
      <c r="EO5" s="745">
        <f t="shared" si="32"/>
        <v>2</v>
      </c>
      <c r="EP5" s="518" t="s">
        <v>403</v>
      </c>
      <c r="EQ5" s="344">
        <f t="shared" si="33"/>
        <v>3.7020888712378229E-3</v>
      </c>
      <c r="ER5" s="20">
        <f t="shared" si="34"/>
        <v>26356.183008729022</v>
      </c>
      <c r="ES5" s="344">
        <f t="shared" si="35"/>
        <v>4.0667398656776552E-3</v>
      </c>
      <c r="ET5" s="20">
        <f t="shared" si="36"/>
        <v>3903.5602246680569</v>
      </c>
      <c r="EU5" s="344">
        <f t="shared" si="37"/>
        <v>4.5431436248763186E-4</v>
      </c>
      <c r="EV5" s="20">
        <f t="shared" si="38"/>
        <v>1168.3421757165361</v>
      </c>
      <c r="EW5" s="20">
        <f t="shared" si="39"/>
        <v>31428.085409113613</v>
      </c>
      <c r="EX5" s="344">
        <f t="shared" si="40"/>
        <v>2.9507699936681606E-3</v>
      </c>
      <c r="EY5" s="342">
        <f t="shared" si="41"/>
        <v>3.155538</v>
      </c>
      <c r="FA5" s="225"/>
      <c r="FC5" s="456">
        <v>2</v>
      </c>
      <c r="FD5" s="851" t="s">
        <v>401</v>
      </c>
      <c r="FE5" s="458">
        <f>D12</f>
        <v>-204693.58767693696</v>
      </c>
      <c r="FG5" s="225"/>
      <c r="FI5" s="734">
        <f>+FI4+1</f>
        <v>2</v>
      </c>
      <c r="FJ5" s="735">
        <f t="shared" si="42"/>
        <v>2</v>
      </c>
      <c r="FK5" s="518" t="s">
        <v>403</v>
      </c>
      <c r="FL5" s="344">
        <f t="shared" si="43"/>
        <v>3.7020888712378229E-3</v>
      </c>
      <c r="FM5" s="20">
        <f t="shared" si="44"/>
        <v>69575.683128197357</v>
      </c>
      <c r="FN5" s="342">
        <f t="shared" si="45"/>
        <v>6.9857490000000002</v>
      </c>
      <c r="FP5" s="225"/>
      <c r="FR5" s="734">
        <f>+FR4+1</f>
        <v>2</v>
      </c>
      <c r="FS5" s="735">
        <v>2</v>
      </c>
      <c r="FT5" s="518" t="s">
        <v>403</v>
      </c>
      <c r="FU5" s="20">
        <f t="shared" si="46"/>
        <v>148914.31560462617</v>
      </c>
      <c r="FV5" s="20">
        <f t="shared" si="47"/>
        <v>36144.873663721453</v>
      </c>
      <c r="FW5" s="20">
        <f t="shared" si="48"/>
        <v>92540.162446466551</v>
      </c>
      <c r="FX5" s="20">
        <f t="shared" si="49"/>
        <v>12819.215866171095</v>
      </c>
      <c r="FY5" s="20">
        <f t="shared" si="50"/>
        <v>18524.430405817784</v>
      </c>
      <c r="FZ5" s="20">
        <f t="shared" si="51"/>
        <v>31428.085409113613</v>
      </c>
      <c r="GA5" s="20">
        <f t="shared" si="52"/>
        <v>69575.683128197357</v>
      </c>
      <c r="GB5" s="20">
        <f t="shared" si="53"/>
        <v>409946.76652411406</v>
      </c>
      <c r="GC5" s="414">
        <f t="shared" si="54"/>
        <v>41.160722999999997</v>
      </c>
      <c r="GE5" s="225"/>
      <c r="GG5" s="734">
        <f t="shared" ref="GG5:GG27" si="79">+GG4+1</f>
        <v>2</v>
      </c>
      <c r="GH5" s="735">
        <f t="shared" si="55"/>
        <v>2</v>
      </c>
      <c r="GI5" s="518" t="s">
        <v>403</v>
      </c>
      <c r="GJ5" s="342">
        <f t="shared" si="56"/>
        <v>14.951748</v>
      </c>
      <c r="GK5" s="342">
        <f t="shared" si="57"/>
        <v>3.6291280000000001</v>
      </c>
      <c r="GL5" s="342">
        <f t="shared" si="58"/>
        <v>9.291499</v>
      </c>
      <c r="GM5" s="342">
        <f t="shared" si="59"/>
        <v>1.2871140000000001</v>
      </c>
      <c r="GN5" s="342">
        <f t="shared" si="60"/>
        <v>1.8599460000000001</v>
      </c>
      <c r="GO5" s="342">
        <f t="shared" si="61"/>
        <v>3.155538</v>
      </c>
      <c r="GP5" s="342">
        <f t="shared" si="62"/>
        <v>6.9857490000000002</v>
      </c>
      <c r="GQ5" s="342">
        <f t="shared" si="63"/>
        <v>41.160722999999997</v>
      </c>
      <c r="GR5" s="788">
        <f t="shared" ref="GR5:GR27" si="80">$M5</f>
        <v>995965.9059918524</v>
      </c>
      <c r="GS5" s="716"/>
      <c r="GT5" s="225"/>
      <c r="GV5" s="718">
        <f t="shared" ref="GV5:GV27" si="81">+GV4+1</f>
        <v>2</v>
      </c>
      <c r="GW5" s="735">
        <v>2</v>
      </c>
      <c r="GX5" s="518" t="s">
        <v>403</v>
      </c>
      <c r="GY5" s="322" t="s">
        <v>397</v>
      </c>
      <c r="GZ5" s="924">
        <f t="shared" ref="GZ5:GZ27" si="82">GB5</f>
        <v>409946.76652411406</v>
      </c>
      <c r="HA5" s="788">
        <f t="shared" ref="HA5:HA27" si="83">$M5</f>
        <v>995965.9059918524</v>
      </c>
      <c r="HB5" s="922">
        <f t="shared" ref="HB5:HB7" si="84">ROUND(IF(HA5&lt;&gt;0,GZ5/HA5*100,0),6)</f>
        <v>41.160722999999997</v>
      </c>
      <c r="HC5" s="942">
        <f t="shared" ref="HC5:HC27" si="85">ROUND(HB5,10)*HA5/100</f>
        <v>409946.76773974672</v>
      </c>
      <c r="HD5" s="858">
        <v>-2.1704175742343068E-3</v>
      </c>
      <c r="HE5" s="54"/>
      <c r="HF5" s="225"/>
      <c r="HH5" s="456">
        <v>2</v>
      </c>
      <c r="HI5" s="565" t="s">
        <v>402</v>
      </c>
      <c r="HJ5" s="862">
        <v>2070180.8900786787</v>
      </c>
      <c r="HK5" s="926">
        <f>HJ5/$HJ$6</f>
        <v>1.8417568795969938E-2</v>
      </c>
      <c r="HL5" s="927">
        <f>SUMIF($GY$4:$GY$27,$HI5,HC$4:HC$27)</f>
        <v>2208824.6914624176</v>
      </c>
      <c r="HM5" s="859">
        <v>0.13414628756436286</v>
      </c>
      <c r="HN5" s="54"/>
      <c r="HO5" s="225"/>
      <c r="HQ5" s="734">
        <v>2</v>
      </c>
      <c r="HR5" s="869">
        <v>2</v>
      </c>
      <c r="HS5" s="518" t="s">
        <v>403</v>
      </c>
      <c r="HT5" s="788">
        <f t="shared" ref="HT5:HT27" si="86">$M5</f>
        <v>995965.9059918524</v>
      </c>
      <c r="HU5" s="917">
        <f t="shared" ref="HU5:HU27" si="87">HB5</f>
        <v>41.160722999999997</v>
      </c>
      <c r="HV5" s="870"/>
      <c r="HW5" s="768"/>
      <c r="HX5" s="870">
        <v>-8.3115710000000007</v>
      </c>
      <c r="HY5" s="769">
        <v>25</v>
      </c>
      <c r="IA5" s="225"/>
      <c r="IN5" s="225"/>
      <c r="IP5" s="734">
        <v>2</v>
      </c>
      <c r="IQ5" s="869">
        <v>2</v>
      </c>
      <c r="IR5" s="518" t="s">
        <v>403</v>
      </c>
      <c r="IS5" s="913">
        <f>HC5</f>
        <v>409946.76773974672</v>
      </c>
      <c r="IT5" s="915">
        <f t="shared" ref="IT5:IT27" si="88">$M5</f>
        <v>995965.9059918524</v>
      </c>
      <c r="IU5" s="919">
        <f t="shared" ref="IU5:IU28" si="89">HB5</f>
        <v>41.160722999999997</v>
      </c>
      <c r="IV5" s="904">
        <f t="shared" ref="IV5:IV7" si="90">IT5*$IK$4/(1-$IL$4)</f>
        <v>146417.85551650188</v>
      </c>
      <c r="IW5" s="904">
        <f t="shared" ref="IW5:IW27" si="91">IT5-IV5</f>
        <v>849548.05047535058</v>
      </c>
      <c r="IX5" s="913">
        <f t="shared" ref="IX5:IX7" si="92">IV5*$II$4</f>
        <v>2196.2678327475282</v>
      </c>
      <c r="IY5" s="882">
        <f t="shared" ref="IY5:IY27" si="93">IS5-IX5</f>
        <v>407750.49990699918</v>
      </c>
      <c r="IZ5" s="928">
        <f t="shared" ref="IZ5:IZ7" si="94">100*IY5/IT5</f>
        <v>40.940206632970309</v>
      </c>
      <c r="JA5" s="928">
        <f t="shared" ref="JA5:JA7" si="95">IZ5+1.5</f>
        <v>42.440206632970309</v>
      </c>
      <c r="JB5" s="913">
        <f>(IV5*JA5+IW5*IZ5)/100</f>
        <v>409946.76773974672</v>
      </c>
      <c r="JC5" s="883">
        <v>0.22223287213186182</v>
      </c>
      <c r="JE5" s="225"/>
      <c r="JG5" s="734">
        <v>2</v>
      </c>
      <c r="JH5" s="869">
        <v>2</v>
      </c>
      <c r="JI5" s="518" t="s">
        <v>403</v>
      </c>
      <c r="JJ5" s="788">
        <f t="shared" ref="JJ5:JJ27" si="96">$M5</f>
        <v>995965.9059918524</v>
      </c>
      <c r="JK5" s="917">
        <f t="shared" ref="JK5:JK28" si="97">IZ5</f>
        <v>40.940206632970309</v>
      </c>
      <c r="JL5" s="870">
        <v>49.463999999999999</v>
      </c>
      <c r="JM5" s="768"/>
      <c r="JN5" s="870"/>
      <c r="JO5" s="769">
        <v>25</v>
      </c>
      <c r="JR5" s="225"/>
      <c r="JT5" s="936">
        <v>8.3490219265402583</v>
      </c>
      <c r="JU5" s="936">
        <f t="shared" si="64"/>
        <v>-2.7694706430056115E-2</v>
      </c>
      <c r="JV5" s="13">
        <v>2563713</v>
      </c>
      <c r="JW5" s="13">
        <f t="shared" si="65"/>
        <v>-139479.08254590305</v>
      </c>
      <c r="JX5" s="935" t="s">
        <v>450</v>
      </c>
      <c r="JY5" s="951">
        <f>SUM(JY3:JY4)</f>
        <v>1021237.8555102178</v>
      </c>
    </row>
    <row r="6" spans="1:294" ht="17.25" thickBot="1" x14ac:dyDescent="0.35">
      <c r="B6" s="756">
        <v>3</v>
      </c>
      <c r="C6" s="764" t="s">
        <v>49</v>
      </c>
      <c r="D6" s="906">
        <f>'ABDA 3 month Phase I'!LN27</f>
        <v>15711197.861928774</v>
      </c>
      <c r="E6" s="765">
        <v>0.13977622384398092</v>
      </c>
      <c r="F6" s="766">
        <v>0.72307985975183253</v>
      </c>
      <c r="J6" s="756">
        <v>3</v>
      </c>
      <c r="K6" s="757">
        <v>3</v>
      </c>
      <c r="L6" s="732" t="s">
        <v>407</v>
      </c>
      <c r="M6" s="904">
        <v>2424233.917454097</v>
      </c>
      <c r="N6" s="944">
        <f t="shared" si="66"/>
        <v>1.1058252899051168E-3</v>
      </c>
      <c r="O6" s="753">
        <v>812.53603294440632</v>
      </c>
      <c r="P6" s="948">
        <f t="shared" si="67"/>
        <v>2983.5401990350415</v>
      </c>
      <c r="Q6" s="733">
        <f t="shared" si="68"/>
        <v>1.7025782788244147E-3</v>
      </c>
      <c r="R6" s="758" t="s">
        <v>397</v>
      </c>
      <c r="V6" s="730">
        <f t="shared" ref="V6:V27" si="98">+V5+1</f>
        <v>3</v>
      </c>
      <c r="W6" s="731">
        <f t="shared" si="0"/>
        <v>3</v>
      </c>
      <c r="X6" s="732" t="s">
        <v>407</v>
      </c>
      <c r="Y6" s="924">
        <f t="shared" si="69"/>
        <v>155720.1080041356</v>
      </c>
      <c r="Z6" s="944">
        <f t="shared" si="70"/>
        <v>1.8660066181357109E-3</v>
      </c>
      <c r="AD6" s="730">
        <v>3</v>
      </c>
      <c r="AE6" s="746">
        <v>3</v>
      </c>
      <c r="AF6" s="747" t="s">
        <v>407</v>
      </c>
      <c r="AG6" s="748">
        <v>6.29</v>
      </c>
      <c r="AK6" s="730">
        <v>3</v>
      </c>
      <c r="AL6" s="779" t="s">
        <v>404</v>
      </c>
      <c r="AM6" s="780">
        <f>AM4/AM5</f>
        <v>18.238489259491555</v>
      </c>
      <c r="AN6" s="57"/>
      <c r="AP6" s="57"/>
      <c r="AQ6" s="730">
        <f t="shared" si="71"/>
        <v>3</v>
      </c>
      <c r="AR6" s="783">
        <f t="shared" si="1"/>
        <v>3</v>
      </c>
      <c r="AS6" s="732" t="s">
        <v>407</v>
      </c>
      <c r="AT6" s="732">
        <f t="shared" si="2"/>
        <v>6.29</v>
      </c>
      <c r="AU6" s="784">
        <f t="shared" si="72"/>
        <v>2424233.917454097</v>
      </c>
      <c r="AV6" s="784">
        <f t="shared" ref="AV6:AV27" si="99">AU6*AT6/3600</f>
        <v>4235.6753724406308</v>
      </c>
      <c r="AW6" s="785">
        <f t="shared" si="3"/>
        <v>4409.3565842520857</v>
      </c>
      <c r="AX6" s="786">
        <f t="shared" si="4"/>
        <v>18.238489259491555</v>
      </c>
      <c r="AY6" s="379">
        <f>AW6*AX6</f>
        <v>80420.002703150036</v>
      </c>
      <c r="AZ6" s="51">
        <f t="shared" si="73"/>
        <v>2.2394717279782018E-3</v>
      </c>
      <c r="BA6" s="53">
        <f t="shared" si="5"/>
        <v>3.3173370000000002</v>
      </c>
      <c r="BE6" s="805">
        <v>3</v>
      </c>
      <c r="BF6" s="806" t="s">
        <v>72</v>
      </c>
      <c r="BG6" s="742">
        <f>SUM(BG4:BG5)</f>
        <v>1</v>
      </c>
      <c r="BH6" s="741">
        <f>D6</f>
        <v>15711197.861928774</v>
      </c>
      <c r="BL6" s="756">
        <f t="shared" ref="BL6:BL27" si="100">+BL5+1</f>
        <v>3</v>
      </c>
      <c r="BM6" s="758">
        <f t="shared" si="6"/>
        <v>3</v>
      </c>
      <c r="BN6" s="732" t="s">
        <v>407</v>
      </c>
      <c r="BO6" s="733">
        <f t="shared" si="7"/>
        <v>2.2394717279782018E-3</v>
      </c>
      <c r="BP6" s="379">
        <f t="shared" si="74"/>
        <v>17592.391712230532</v>
      </c>
      <c r="BQ6" s="733">
        <f t="shared" si="8"/>
        <v>1.1058252899051168E-3</v>
      </c>
      <c r="BR6" s="379">
        <f t="shared" si="75"/>
        <v>8686.9199652120187</v>
      </c>
      <c r="BS6" s="807">
        <f t="shared" si="9"/>
        <v>26279.311677442551</v>
      </c>
      <c r="BT6" s="808">
        <f t="shared" si="10"/>
        <v>1.084025</v>
      </c>
      <c r="BX6" s="756">
        <f>+BX5+1</f>
        <v>3</v>
      </c>
      <c r="BY6" s="732" t="s">
        <v>405</v>
      </c>
      <c r="BZ6" s="765">
        <v>0.11835749256056489</v>
      </c>
      <c r="CA6" s="821">
        <f>BZ6*$CA$9</f>
        <v>2693268.3058364303</v>
      </c>
      <c r="CB6" s="766"/>
      <c r="CC6" s="766">
        <v>1</v>
      </c>
      <c r="CD6" s="821">
        <f t="shared" si="11"/>
        <v>0</v>
      </c>
      <c r="CE6" s="821">
        <f t="shared" si="11"/>
        <v>2693268.3058364303</v>
      </c>
      <c r="CI6" s="730">
        <f t="shared" ref="CI6:CI27" si="101">+CI5+1</f>
        <v>3</v>
      </c>
      <c r="CJ6" s="746">
        <f t="shared" si="12"/>
        <v>3</v>
      </c>
      <c r="CK6" s="732" t="s">
        <v>407</v>
      </c>
      <c r="CL6" s="733">
        <f t="shared" si="13"/>
        <v>1.1058252899051168E-3</v>
      </c>
      <c r="CM6" s="379">
        <f t="shared" si="14"/>
        <v>5920.854138056432</v>
      </c>
      <c r="CN6" s="733">
        <f t="shared" si="15"/>
        <v>1.7025782788244147E-3</v>
      </c>
      <c r="CO6" s="379">
        <f t="shared" si="16"/>
        <v>29626.782449235583</v>
      </c>
      <c r="CP6" s="379">
        <f t="shared" si="17"/>
        <v>35547.636587292014</v>
      </c>
      <c r="CQ6" s="733">
        <f t="shared" si="18"/>
        <v>1.5621648700237599E-3</v>
      </c>
      <c r="CR6" s="808">
        <f t="shared" si="19"/>
        <v>1.466345</v>
      </c>
      <c r="CV6" s="842">
        <v>3</v>
      </c>
      <c r="CW6" s="834" t="s">
        <v>395</v>
      </c>
      <c r="CX6" s="835">
        <v>0</v>
      </c>
      <c r="CY6" s="835">
        <v>0</v>
      </c>
      <c r="CZ6" s="836">
        <v>1</v>
      </c>
      <c r="DA6" s="910">
        <v>0</v>
      </c>
      <c r="DB6" s="910">
        <v>0</v>
      </c>
      <c r="DC6" s="910">
        <f>DD6</f>
        <v>1293148.1905079978</v>
      </c>
      <c r="DD6" s="910">
        <f t="shared" si="76"/>
        <v>1293148.1905079978</v>
      </c>
      <c r="DH6" s="730">
        <v>3</v>
      </c>
      <c r="DI6" s="840">
        <f t="shared" si="20"/>
        <v>3</v>
      </c>
      <c r="DJ6" s="732" t="s">
        <v>407</v>
      </c>
      <c r="DK6" s="733">
        <f t="shared" si="21"/>
        <v>1.5621648700237599E-3</v>
      </c>
      <c r="DL6" s="379">
        <f t="shared" si="77"/>
        <v>490.88633216751032</v>
      </c>
      <c r="DM6" s="733">
        <f t="shared" si="22"/>
        <v>1.7025782788244147E-3</v>
      </c>
      <c r="DN6" s="379">
        <f t="shared" si="23"/>
        <v>3311.0439159660373</v>
      </c>
      <c r="DO6" s="733">
        <f t="shared" si="24"/>
        <v>1.1058252899051168E-3</v>
      </c>
      <c r="DP6" s="379">
        <f t="shared" si="25"/>
        <v>3580.5203531235938</v>
      </c>
      <c r="DQ6" s="379">
        <f t="shared" si="78"/>
        <v>7382.4506012571419</v>
      </c>
      <c r="DR6" s="733">
        <f t="shared" si="26"/>
        <v>1.3430378837422285E-3</v>
      </c>
      <c r="DS6" s="808">
        <f t="shared" si="27"/>
        <v>0.30452699999999999</v>
      </c>
      <c r="DW6" s="730">
        <f t="shared" ref="DW6:DW27" si="102">+DW5+1</f>
        <v>3</v>
      </c>
      <c r="DX6" s="840">
        <f t="shared" si="28"/>
        <v>3</v>
      </c>
      <c r="DY6" s="732" t="s">
        <v>407</v>
      </c>
      <c r="DZ6" s="733">
        <f t="shared" si="29"/>
        <v>1.7025782788244147E-3</v>
      </c>
      <c r="EA6" s="379">
        <f t="shared" si="30"/>
        <v>6090.7064349938692</v>
      </c>
      <c r="EB6" s="808">
        <f t="shared" si="31"/>
        <v>0.25124299999999999</v>
      </c>
      <c r="EF6" s="842">
        <v>3</v>
      </c>
      <c r="EG6" s="825" t="s">
        <v>173</v>
      </c>
      <c r="EH6" s="837">
        <v>2334663.450411818</v>
      </c>
      <c r="EI6" s="826">
        <f>EH6/$EH$7</f>
        <v>0.24145211925746848</v>
      </c>
      <c r="EJ6" s="837">
        <f>EI6*$EJ$7</f>
        <v>2571660.2251339629</v>
      </c>
      <c r="EN6" s="730">
        <f t="shared" ref="EN6:EN27" si="103">+EN5+1</f>
        <v>3</v>
      </c>
      <c r="EO6" s="840">
        <f t="shared" si="32"/>
        <v>3</v>
      </c>
      <c r="EP6" s="732" t="s">
        <v>407</v>
      </c>
      <c r="EQ6" s="733">
        <f t="shared" si="33"/>
        <v>1.8660066181357109E-3</v>
      </c>
      <c r="ER6" s="379">
        <f t="shared" si="34"/>
        <v>13284.61137310308</v>
      </c>
      <c r="ES6" s="733">
        <f t="shared" si="35"/>
        <v>1.5621648700237599E-3</v>
      </c>
      <c r="ET6" s="379">
        <f t="shared" si="36"/>
        <v>1499.4823500918376</v>
      </c>
      <c r="EU6" s="733">
        <f t="shared" si="37"/>
        <v>1.1058252899051168E-3</v>
      </c>
      <c r="EV6" s="379">
        <f t="shared" si="38"/>
        <v>2843.8069139962226</v>
      </c>
      <c r="EW6" s="379">
        <f t="shared" si="39"/>
        <v>17627.900637191138</v>
      </c>
      <c r="EX6" s="733">
        <f t="shared" si="40"/>
        <v>1.655076329800979E-3</v>
      </c>
      <c r="EY6" s="808">
        <f t="shared" si="41"/>
        <v>0.72715300000000005</v>
      </c>
      <c r="FC6" s="813">
        <v>3</v>
      </c>
      <c r="FD6" s="59" t="s">
        <v>406</v>
      </c>
      <c r="FE6" s="60">
        <f>SUM(FE4:FE5)</f>
        <v>18793628.556230251</v>
      </c>
      <c r="FI6" s="730">
        <f t="shared" ref="FI6:FI27" si="104">+FI5+1</f>
        <v>3</v>
      </c>
      <c r="FJ6" s="731">
        <f t="shared" si="42"/>
        <v>3</v>
      </c>
      <c r="FK6" s="732" t="s">
        <v>407</v>
      </c>
      <c r="FL6" s="733">
        <f t="shared" si="43"/>
        <v>1.8660066181357109E-3</v>
      </c>
      <c r="FM6" s="379">
        <f t="shared" si="44"/>
        <v>35069.035264709935</v>
      </c>
      <c r="FN6" s="808">
        <f t="shared" si="45"/>
        <v>1.4466030000000001</v>
      </c>
      <c r="FR6" s="730">
        <f t="shared" ref="FR6:FR27" si="105">+FR5+1</f>
        <v>3</v>
      </c>
      <c r="FS6" s="731">
        <v>3</v>
      </c>
      <c r="FT6" s="732" t="s">
        <v>407</v>
      </c>
      <c r="FU6" s="379">
        <f t="shared" si="46"/>
        <v>80420.002703150036</v>
      </c>
      <c r="FV6" s="379">
        <f t="shared" si="47"/>
        <v>26279.311677442551</v>
      </c>
      <c r="FW6" s="379">
        <f t="shared" si="48"/>
        <v>35547.636587292014</v>
      </c>
      <c r="FX6" s="379">
        <f t="shared" si="49"/>
        <v>7382.4506012571419</v>
      </c>
      <c r="FY6" s="379">
        <f t="shared" si="50"/>
        <v>6090.7064349938692</v>
      </c>
      <c r="FZ6" s="379">
        <f t="shared" si="51"/>
        <v>17627.900637191138</v>
      </c>
      <c r="GA6" s="379">
        <f t="shared" si="52"/>
        <v>35069.035264709935</v>
      </c>
      <c r="GB6" s="379">
        <f t="shared" si="53"/>
        <v>208417.04390603668</v>
      </c>
      <c r="GC6" s="852">
        <f t="shared" si="54"/>
        <v>8.5972329999999992</v>
      </c>
      <c r="GG6" s="730">
        <f t="shared" si="79"/>
        <v>3</v>
      </c>
      <c r="GH6" s="731">
        <f t="shared" si="55"/>
        <v>3</v>
      </c>
      <c r="GI6" s="732" t="s">
        <v>407</v>
      </c>
      <c r="GJ6" s="808">
        <f t="shared" si="56"/>
        <v>3.3173370000000002</v>
      </c>
      <c r="GK6" s="808">
        <f t="shared" si="57"/>
        <v>1.084025</v>
      </c>
      <c r="GL6" s="808">
        <f t="shared" si="58"/>
        <v>1.466345</v>
      </c>
      <c r="GM6" s="808">
        <f t="shared" si="59"/>
        <v>0.30452699999999999</v>
      </c>
      <c r="GN6" s="808">
        <f t="shared" si="60"/>
        <v>0.25124299999999999</v>
      </c>
      <c r="GO6" s="808">
        <f t="shared" si="61"/>
        <v>0.72715300000000005</v>
      </c>
      <c r="GP6" s="808">
        <f t="shared" si="62"/>
        <v>1.4466030000000001</v>
      </c>
      <c r="GQ6" s="808">
        <f t="shared" si="63"/>
        <v>8.5972329999999992</v>
      </c>
      <c r="GR6" s="784">
        <f t="shared" si="80"/>
        <v>2424233.917454097</v>
      </c>
      <c r="GS6" s="716"/>
      <c r="GV6" s="717">
        <f t="shared" si="81"/>
        <v>3</v>
      </c>
      <c r="GW6" s="731">
        <v>3</v>
      </c>
      <c r="GX6" s="732" t="s">
        <v>407</v>
      </c>
      <c r="GY6" s="758" t="s">
        <v>397</v>
      </c>
      <c r="GZ6" s="906">
        <f t="shared" si="82"/>
        <v>208417.04390603668</v>
      </c>
      <c r="HA6" s="784">
        <f t="shared" si="83"/>
        <v>2424233.917454097</v>
      </c>
      <c r="HB6" s="922">
        <f t="shared" si="84"/>
        <v>8.5972329999999992</v>
      </c>
      <c r="HC6" s="942">
        <f t="shared" si="85"/>
        <v>208417.03834855635</v>
      </c>
      <c r="HD6" s="857">
        <v>5.2642390364781022E-3</v>
      </c>
      <c r="HE6" s="61"/>
      <c r="HH6" s="813">
        <v>3</v>
      </c>
      <c r="HI6" s="762" t="s">
        <v>89</v>
      </c>
      <c r="HJ6" s="863">
        <v>112402506.16203305</v>
      </c>
      <c r="HK6" s="864">
        <v>1</v>
      </c>
      <c r="HL6" s="863">
        <f>SUM(HL4:HL5)</f>
        <v>112895435.8519045</v>
      </c>
      <c r="HM6" s="865">
        <v>-2.9150733718854553</v>
      </c>
      <c r="HN6" s="61"/>
      <c r="HQ6" s="730">
        <v>3</v>
      </c>
      <c r="HR6" s="867">
        <v>3</v>
      </c>
      <c r="HS6" s="732" t="s">
        <v>407</v>
      </c>
      <c r="HT6" s="784">
        <f t="shared" si="86"/>
        <v>2424233.917454097</v>
      </c>
      <c r="HU6" s="917">
        <f t="shared" si="87"/>
        <v>8.5972329999999992</v>
      </c>
      <c r="HV6" s="868"/>
      <c r="HW6" s="765"/>
      <c r="HX6" s="868">
        <v>-2.0161709999999999</v>
      </c>
      <c r="HY6" s="766">
        <v>10</v>
      </c>
      <c r="IP6" s="730">
        <v>3</v>
      </c>
      <c r="IQ6" s="867">
        <v>3</v>
      </c>
      <c r="IR6" s="732" t="s">
        <v>407</v>
      </c>
      <c r="IS6" s="913">
        <f t="shared" ref="IS6:IS27" si="106">HC6</f>
        <v>208417.03834855635</v>
      </c>
      <c r="IT6" s="915">
        <f t="shared" si="88"/>
        <v>2424233.917454097</v>
      </c>
      <c r="IU6" s="918">
        <f t="shared" si="89"/>
        <v>8.5972329999999992</v>
      </c>
      <c r="IV6" s="904">
        <f>IT6*$IK$4/(1-$IL$4)</f>
        <v>356388.83753808029</v>
      </c>
      <c r="IW6" s="904">
        <f>IT6-IV6</f>
        <v>2067845.0799160167</v>
      </c>
      <c r="IX6" s="913">
        <f t="shared" si="92"/>
        <v>5345.8325630712043</v>
      </c>
      <c r="IY6" s="881">
        <f t="shared" si="93"/>
        <v>203071.20578548516</v>
      </c>
      <c r="IZ6" s="928">
        <f t="shared" si="94"/>
        <v>8.3767166329703144</v>
      </c>
      <c r="JA6" s="928">
        <f t="shared" si="95"/>
        <v>9.8767166329703144</v>
      </c>
      <c r="JB6" s="913">
        <f t="shared" ref="JB6:JB27" si="107">(IV6*JA6+IW6*IZ6)/100</f>
        <v>208417.03834855638</v>
      </c>
      <c r="JC6" s="852">
        <v>0.22223334610416501</v>
      </c>
      <c r="JG6" s="730">
        <v>3</v>
      </c>
      <c r="JH6" s="867">
        <v>3</v>
      </c>
      <c r="JI6" s="732" t="s">
        <v>407</v>
      </c>
      <c r="JJ6" s="784">
        <f t="shared" si="96"/>
        <v>2424233.917454097</v>
      </c>
      <c r="JK6" s="917">
        <f t="shared" si="97"/>
        <v>8.3767166329703144</v>
      </c>
      <c r="JL6" s="868">
        <v>10.432</v>
      </c>
      <c r="JM6" s="765"/>
      <c r="JN6" s="868"/>
      <c r="JO6" s="766">
        <v>10</v>
      </c>
      <c r="JT6" s="936">
        <v>18.573936926540256</v>
      </c>
      <c r="JU6" s="936">
        <f t="shared" si="64"/>
        <v>-7.8414706430059766E-2</v>
      </c>
      <c r="JV6" s="13">
        <v>369439</v>
      </c>
      <c r="JW6" s="13">
        <f t="shared" si="65"/>
        <v>-8369.5724450967391</v>
      </c>
    </row>
    <row r="7" spans="1:294" ht="17.25" thickBot="1" x14ac:dyDescent="0.35">
      <c r="B7" s="338">
        <v>4</v>
      </c>
      <c r="C7" s="770" t="s">
        <v>50</v>
      </c>
      <c r="D7" s="906">
        <f>'ABDA 3 month Phase I'!LP27</f>
        <v>22755368.059679482</v>
      </c>
      <c r="E7" s="768">
        <v>0.20244537988215888</v>
      </c>
      <c r="F7" s="769">
        <v>1.047275229412356</v>
      </c>
      <c r="J7" s="338">
        <v>4</v>
      </c>
      <c r="K7" s="759">
        <v>4</v>
      </c>
      <c r="L7" s="518" t="s">
        <v>410</v>
      </c>
      <c r="M7" s="904">
        <v>361069.42755490326</v>
      </c>
      <c r="N7" s="943">
        <f t="shared" si="66"/>
        <v>1.6470345601842518E-4</v>
      </c>
      <c r="O7" s="455">
        <v>176.53560975609756</v>
      </c>
      <c r="P7" s="948">
        <f t="shared" si="67"/>
        <v>2045.3064854946745</v>
      </c>
      <c r="Q7" s="659">
        <f t="shared" si="68"/>
        <v>1.1671685861206779E-3</v>
      </c>
      <c r="R7" s="322" t="s">
        <v>397</v>
      </c>
      <c r="V7" s="734">
        <f t="shared" si="98"/>
        <v>4</v>
      </c>
      <c r="W7" s="735">
        <f t="shared" si="0"/>
        <v>4</v>
      </c>
      <c r="X7" s="518" t="s">
        <v>410</v>
      </c>
      <c r="Y7" s="924">
        <f t="shared" si="69"/>
        <v>50992.623491591403</v>
      </c>
      <c r="Z7" s="943">
        <f t="shared" si="70"/>
        <v>6.1104872152339528E-4</v>
      </c>
      <c r="AD7" s="734">
        <v>4</v>
      </c>
      <c r="AE7" s="146">
        <v>4</v>
      </c>
      <c r="AF7" s="347" t="s">
        <v>410</v>
      </c>
      <c r="AG7" s="369">
        <v>9.15</v>
      </c>
      <c r="AK7" s="749">
        <v>4</v>
      </c>
      <c r="AL7" s="781" t="s">
        <v>408</v>
      </c>
      <c r="AM7" s="909">
        <v>3.1019864894695965</v>
      </c>
      <c r="AQ7" s="734">
        <f t="shared" si="71"/>
        <v>4</v>
      </c>
      <c r="AR7" s="787">
        <f t="shared" si="1"/>
        <v>4</v>
      </c>
      <c r="AS7" s="518" t="s">
        <v>410</v>
      </c>
      <c r="AT7" s="518">
        <f t="shared" si="2"/>
        <v>9.15</v>
      </c>
      <c r="AU7" s="788">
        <f t="shared" si="72"/>
        <v>361069.42755490326</v>
      </c>
      <c r="AV7" s="788">
        <f t="shared" si="99"/>
        <v>917.71812836871254</v>
      </c>
      <c r="AW7" s="789">
        <f t="shared" si="3"/>
        <v>955.34858458202154</v>
      </c>
      <c r="AX7" s="790">
        <f t="shared" si="4"/>
        <v>18.238489259491555</v>
      </c>
      <c r="AY7" s="358">
        <f t="shared" ref="AY7:AY27" si="108">AW7*AX7</f>
        <v>17424.114898969659</v>
      </c>
      <c r="AZ7" s="35">
        <f t="shared" si="73"/>
        <v>4.8521277530071361E-4</v>
      </c>
      <c r="BA7" s="55">
        <f t="shared" si="5"/>
        <v>4.8256969999999999</v>
      </c>
      <c r="BL7" s="338">
        <f t="shared" si="100"/>
        <v>4</v>
      </c>
      <c r="BM7" s="322">
        <f t="shared" si="6"/>
        <v>4</v>
      </c>
      <c r="BN7" s="518" t="s">
        <v>410</v>
      </c>
      <c r="BO7" s="659">
        <f t="shared" si="7"/>
        <v>4.8521277530071361E-4</v>
      </c>
      <c r="BP7" s="358">
        <f t="shared" si="74"/>
        <v>3811.636958942549</v>
      </c>
      <c r="BQ7" s="659">
        <f t="shared" si="8"/>
        <v>1.6470345601842518E-4</v>
      </c>
      <c r="BR7" s="358">
        <f t="shared" si="75"/>
        <v>1293.8442930244807</v>
      </c>
      <c r="BS7" s="809">
        <f t="shared" si="9"/>
        <v>5105.4812519670295</v>
      </c>
      <c r="BT7" s="810">
        <f t="shared" si="10"/>
        <v>1.4139889999999999</v>
      </c>
      <c r="BX7" s="338">
        <f>+BX6+1</f>
        <v>4</v>
      </c>
      <c r="BY7" s="518" t="s">
        <v>409</v>
      </c>
      <c r="BZ7" s="822">
        <v>0.27072634510422583</v>
      </c>
      <c r="CA7" s="823">
        <f>BZ7*$CA$9</f>
        <v>6160477.6262984648</v>
      </c>
      <c r="CB7" s="824"/>
      <c r="CC7" s="824">
        <v>1</v>
      </c>
      <c r="CD7" s="823">
        <f t="shared" si="11"/>
        <v>0</v>
      </c>
      <c r="CE7" s="823">
        <f t="shared" si="11"/>
        <v>6160477.6262984648</v>
      </c>
      <c r="CI7" s="734">
        <f t="shared" si="101"/>
        <v>4</v>
      </c>
      <c r="CJ7" s="146">
        <f t="shared" si="12"/>
        <v>4</v>
      </c>
      <c r="CK7" s="518" t="s">
        <v>410</v>
      </c>
      <c r="CL7" s="344">
        <f t="shared" si="13"/>
        <v>1.6470345601842518E-4</v>
      </c>
      <c r="CM7" s="20">
        <f t="shared" si="14"/>
        <v>881.86185288144577</v>
      </c>
      <c r="CN7" s="344">
        <f t="shared" si="15"/>
        <v>1.1671685861206779E-3</v>
      </c>
      <c r="CO7" s="20">
        <f t="shared" si="16"/>
        <v>20310.049888840003</v>
      </c>
      <c r="CP7" s="20">
        <f t="shared" si="17"/>
        <v>21191.911741721447</v>
      </c>
      <c r="CQ7" s="344">
        <f t="shared" si="18"/>
        <v>9.3129285741027669E-4</v>
      </c>
      <c r="CR7" s="342">
        <f t="shared" si="19"/>
        <v>5.8692070000000003</v>
      </c>
      <c r="CV7" s="843">
        <v>4</v>
      </c>
      <c r="CW7" s="838" t="s">
        <v>72</v>
      </c>
      <c r="CX7" s="622"/>
      <c r="CY7" s="622"/>
      <c r="CZ7" s="839"/>
      <c r="DA7" s="424">
        <f>SUM(DA4:DA6)</f>
        <v>314234.65063584753</v>
      </c>
      <c r="DB7" s="424">
        <f>SUM(DB4:DB6)</f>
        <v>1944723.4568575758</v>
      </c>
      <c r="DC7" s="424">
        <f>SUM(DC4:DC6)</f>
        <v>3237871.6473655738</v>
      </c>
      <c r="DD7" s="911">
        <f>D8</f>
        <v>5496829.7548589967</v>
      </c>
      <c r="DH7" s="734">
        <v>4</v>
      </c>
      <c r="DI7" s="745">
        <f t="shared" si="20"/>
        <v>4</v>
      </c>
      <c r="DJ7" s="518" t="s">
        <v>410</v>
      </c>
      <c r="DK7" s="344">
        <f t="shared" si="21"/>
        <v>9.3129285741027669E-4</v>
      </c>
      <c r="DL7" s="20">
        <f t="shared" si="77"/>
        <v>292.64448568797849</v>
      </c>
      <c r="DM7" s="344">
        <f t="shared" si="22"/>
        <v>1.1671685861206779E-3</v>
      </c>
      <c r="DN7" s="20">
        <f t="shared" si="23"/>
        <v>2269.8201275361739</v>
      </c>
      <c r="DO7" s="344">
        <f t="shared" si="24"/>
        <v>1.6470345601842518E-4</v>
      </c>
      <c r="DP7" s="20">
        <f t="shared" si="25"/>
        <v>533.28865046518172</v>
      </c>
      <c r="DQ7" s="20">
        <f t="shared" si="78"/>
        <v>3095.7532636893338</v>
      </c>
      <c r="DR7" s="344">
        <f t="shared" si="26"/>
        <v>5.6318885644089667E-4</v>
      </c>
      <c r="DS7" s="342">
        <f t="shared" si="27"/>
        <v>0.85738400000000003</v>
      </c>
      <c r="DW7" s="734">
        <f t="shared" si="102"/>
        <v>4</v>
      </c>
      <c r="DX7" s="745">
        <f t="shared" si="28"/>
        <v>4</v>
      </c>
      <c r="DY7" s="518" t="s">
        <v>410</v>
      </c>
      <c r="DZ7" s="344">
        <f t="shared" si="29"/>
        <v>1.1671685861206779E-3</v>
      </c>
      <c r="EA7" s="20">
        <f t="shared" si="30"/>
        <v>4175.3623352439363</v>
      </c>
      <c r="EB7" s="342">
        <f t="shared" si="31"/>
        <v>1.156388</v>
      </c>
      <c r="EF7" s="843">
        <v>4</v>
      </c>
      <c r="EG7" s="30" t="s">
        <v>72</v>
      </c>
      <c r="EH7" s="21">
        <f>SUM(EH4:EH6)</f>
        <v>9669260.545699697</v>
      </c>
      <c r="EI7" s="64">
        <f>EH7/$EH$7</f>
        <v>1</v>
      </c>
      <c r="EJ7" s="21">
        <f>D10</f>
        <v>10650808.255659647</v>
      </c>
      <c r="EN7" s="734">
        <f t="shared" si="103"/>
        <v>4</v>
      </c>
      <c r="EO7" s="745">
        <f t="shared" si="32"/>
        <v>4</v>
      </c>
      <c r="EP7" s="518" t="s">
        <v>410</v>
      </c>
      <c r="EQ7" s="344">
        <f t="shared" si="33"/>
        <v>6.1104872152339528E-4</v>
      </c>
      <c r="ER7" s="20">
        <f t="shared" si="34"/>
        <v>4350.222939498396</v>
      </c>
      <c r="ES7" s="344">
        <f t="shared" si="35"/>
        <v>9.3129285741027669E-4</v>
      </c>
      <c r="ET7" s="20">
        <f t="shared" si="36"/>
        <v>893.92434130980337</v>
      </c>
      <c r="EU7" s="344">
        <f t="shared" si="37"/>
        <v>1.6470345601842518E-4</v>
      </c>
      <c r="EV7" s="20">
        <f t="shared" si="38"/>
        <v>423.56132678468504</v>
      </c>
      <c r="EW7" s="20">
        <f t="shared" si="39"/>
        <v>5667.7086075928846</v>
      </c>
      <c r="EX7" s="344">
        <f t="shared" si="40"/>
        <v>5.321388266079399E-4</v>
      </c>
      <c r="EY7" s="342">
        <f t="shared" si="41"/>
        <v>1.5697000000000001</v>
      </c>
      <c r="FE7" s="25"/>
      <c r="FI7" s="734">
        <f t="shared" si="104"/>
        <v>4</v>
      </c>
      <c r="FJ7" s="735">
        <f t="shared" si="42"/>
        <v>4</v>
      </c>
      <c r="FK7" s="518" t="s">
        <v>410</v>
      </c>
      <c r="FL7" s="344">
        <f t="shared" si="43"/>
        <v>6.1104872152339528E-4</v>
      </c>
      <c r="FM7" s="20">
        <f t="shared" si="44"/>
        <v>11483.822702070067</v>
      </c>
      <c r="FN7" s="342">
        <f t="shared" si="45"/>
        <v>3.1805029999999999</v>
      </c>
      <c r="FR7" s="734">
        <f t="shared" si="105"/>
        <v>4</v>
      </c>
      <c r="FS7" s="735">
        <v>4</v>
      </c>
      <c r="FT7" s="518" t="s">
        <v>410</v>
      </c>
      <c r="FU7" s="20">
        <f t="shared" si="46"/>
        <v>17424.114898969659</v>
      </c>
      <c r="FV7" s="20">
        <f t="shared" si="47"/>
        <v>5105.4812519670295</v>
      </c>
      <c r="FW7" s="20">
        <f t="shared" si="48"/>
        <v>21191.911741721447</v>
      </c>
      <c r="FX7" s="20">
        <f t="shared" si="49"/>
        <v>3095.7532636893338</v>
      </c>
      <c r="FY7" s="20">
        <f t="shared" si="50"/>
        <v>4175.3623352439363</v>
      </c>
      <c r="FZ7" s="20">
        <f t="shared" si="51"/>
        <v>5667.7086075928846</v>
      </c>
      <c r="GA7" s="20">
        <f t="shared" si="52"/>
        <v>11483.822702070067</v>
      </c>
      <c r="GB7" s="20">
        <f t="shared" si="53"/>
        <v>68144.15480125435</v>
      </c>
      <c r="GC7" s="414">
        <f t="shared" si="54"/>
        <v>18.872868</v>
      </c>
      <c r="GG7" s="734">
        <f t="shared" si="79"/>
        <v>4</v>
      </c>
      <c r="GH7" s="735">
        <f t="shared" si="55"/>
        <v>4</v>
      </c>
      <c r="GI7" s="518" t="s">
        <v>410</v>
      </c>
      <c r="GJ7" s="342">
        <f t="shared" si="56"/>
        <v>4.8256969999999999</v>
      </c>
      <c r="GK7" s="342">
        <f t="shared" si="57"/>
        <v>1.4139889999999999</v>
      </c>
      <c r="GL7" s="342">
        <f t="shared" si="58"/>
        <v>5.8692070000000003</v>
      </c>
      <c r="GM7" s="342">
        <f t="shared" si="59"/>
        <v>0.85738400000000003</v>
      </c>
      <c r="GN7" s="342">
        <f t="shared" si="60"/>
        <v>1.156388</v>
      </c>
      <c r="GO7" s="342">
        <f t="shared" si="61"/>
        <v>1.5697000000000001</v>
      </c>
      <c r="GP7" s="342">
        <f t="shared" si="62"/>
        <v>3.1805029999999999</v>
      </c>
      <c r="GQ7" s="342">
        <f t="shared" si="63"/>
        <v>18.872868</v>
      </c>
      <c r="GR7" s="788">
        <f t="shared" si="80"/>
        <v>361069.42755490326</v>
      </c>
      <c r="GS7" s="716"/>
      <c r="GV7" s="718">
        <f t="shared" si="81"/>
        <v>4</v>
      </c>
      <c r="GW7" s="735">
        <v>4</v>
      </c>
      <c r="GX7" s="518" t="s">
        <v>410</v>
      </c>
      <c r="GY7" s="322" t="s">
        <v>397</v>
      </c>
      <c r="GZ7" s="924">
        <f t="shared" si="82"/>
        <v>68144.15480125435</v>
      </c>
      <c r="HA7" s="788">
        <f t="shared" si="83"/>
        <v>361069.42755490326</v>
      </c>
      <c r="HB7" s="922">
        <f t="shared" si="84"/>
        <v>18.872868</v>
      </c>
      <c r="HC7" s="942">
        <f t="shared" si="85"/>
        <v>68144.156450792521</v>
      </c>
      <c r="HD7" s="858">
        <v>1.2685816618613899E-3</v>
      </c>
      <c r="HE7" s="54"/>
      <c r="HH7" s="54"/>
      <c r="HI7" s="54"/>
      <c r="HJ7" s="953"/>
      <c r="HK7" s="953"/>
      <c r="HL7" s="953"/>
      <c r="HM7" s="54"/>
      <c r="HN7" s="54"/>
      <c r="HQ7" s="734">
        <v>4</v>
      </c>
      <c r="HR7" s="869">
        <v>4</v>
      </c>
      <c r="HS7" s="518" t="s">
        <v>410</v>
      </c>
      <c r="HT7" s="788">
        <f t="shared" si="86"/>
        <v>361069.42755490326</v>
      </c>
      <c r="HU7" s="917">
        <f t="shared" si="87"/>
        <v>18.872868</v>
      </c>
      <c r="HV7" s="870"/>
      <c r="HW7" s="768"/>
      <c r="HX7" s="870">
        <v>-2.307269999999999</v>
      </c>
      <c r="HY7" s="769">
        <v>25</v>
      </c>
      <c r="IP7" s="734">
        <v>4</v>
      </c>
      <c r="IQ7" s="869">
        <v>4</v>
      </c>
      <c r="IR7" s="518" t="s">
        <v>410</v>
      </c>
      <c r="IS7" s="913">
        <f t="shared" si="106"/>
        <v>68144.156450792521</v>
      </c>
      <c r="IT7" s="915">
        <f t="shared" si="88"/>
        <v>361069.42755490326</v>
      </c>
      <c r="IU7" s="919">
        <f t="shared" si="89"/>
        <v>18.872868</v>
      </c>
      <c r="IV7" s="904">
        <f t="shared" si="90"/>
        <v>53081.145606597041</v>
      </c>
      <c r="IW7" s="904">
        <f t="shared" si="91"/>
        <v>307988.28194830625</v>
      </c>
      <c r="IX7" s="913">
        <f t="shared" si="92"/>
        <v>796.21718409895561</v>
      </c>
      <c r="IY7" s="882">
        <f t="shared" si="93"/>
        <v>67347.93926669356</v>
      </c>
      <c r="IZ7" s="928">
        <f t="shared" si="94"/>
        <v>18.652351632970316</v>
      </c>
      <c r="JA7" s="928">
        <f t="shared" si="95"/>
        <v>20.152351632970316</v>
      </c>
      <c r="JB7" s="913">
        <f t="shared" si="107"/>
        <v>68144.156450792536</v>
      </c>
      <c r="JC7" s="883">
        <v>0.22223345161998509</v>
      </c>
      <c r="JG7" s="734">
        <v>4</v>
      </c>
      <c r="JH7" s="869">
        <v>4</v>
      </c>
      <c r="JI7" s="518" t="s">
        <v>410</v>
      </c>
      <c r="JJ7" s="788">
        <f t="shared" si="96"/>
        <v>361069.42755490326</v>
      </c>
      <c r="JK7" s="917">
        <f t="shared" si="97"/>
        <v>18.652351632970316</v>
      </c>
      <c r="JL7" s="870">
        <v>21.068999999999999</v>
      </c>
      <c r="JM7" s="768"/>
      <c r="JN7" s="870"/>
      <c r="JO7" s="769">
        <v>25</v>
      </c>
      <c r="JT7" s="936">
        <v>3149</v>
      </c>
      <c r="JU7" s="936">
        <f t="shared" si="64"/>
        <v>0</v>
      </c>
      <c r="JV7" s="13">
        <v>0</v>
      </c>
      <c r="JW7" s="13">
        <f t="shared" si="65"/>
        <v>0</v>
      </c>
    </row>
    <row r="8" spans="1:294" x14ac:dyDescent="0.3">
      <c r="B8" s="756">
        <v>5</v>
      </c>
      <c r="C8" s="764" t="s">
        <v>53</v>
      </c>
      <c r="D8" s="906">
        <f>'ABDA 3 month Phase I'!LV27</f>
        <v>5496829.7548589967</v>
      </c>
      <c r="E8" s="765">
        <v>4.8469810252916676E-2</v>
      </c>
      <c r="F8" s="766">
        <v>0.25074038084615313</v>
      </c>
      <c r="J8" s="756">
        <v>5</v>
      </c>
      <c r="K8" s="757">
        <v>5</v>
      </c>
      <c r="L8" s="732" t="s">
        <v>412</v>
      </c>
      <c r="M8" s="904">
        <v>0</v>
      </c>
      <c r="N8" s="944">
        <f t="shared" si="66"/>
        <v>0</v>
      </c>
      <c r="O8" s="753">
        <v>10</v>
      </c>
      <c r="P8" s="948">
        <f t="shared" si="67"/>
        <v>0</v>
      </c>
      <c r="Q8" s="733">
        <f t="shared" si="68"/>
        <v>0</v>
      </c>
      <c r="R8" s="758" t="s">
        <v>402</v>
      </c>
      <c r="V8" s="730">
        <f t="shared" si="98"/>
        <v>5</v>
      </c>
      <c r="W8" s="731">
        <f t="shared" si="0"/>
        <v>5</v>
      </c>
      <c r="X8" s="732" t="s">
        <v>412</v>
      </c>
      <c r="Y8" s="924">
        <f t="shared" si="69"/>
        <v>0</v>
      </c>
      <c r="Z8" s="944">
        <f t="shared" si="70"/>
        <v>0</v>
      </c>
      <c r="AD8" s="730">
        <v>5</v>
      </c>
      <c r="AE8" s="746">
        <v>5</v>
      </c>
      <c r="AF8" s="747" t="s">
        <v>412</v>
      </c>
      <c r="AG8" s="748">
        <v>73.19</v>
      </c>
      <c r="AK8" s="39"/>
      <c r="AQ8" s="730">
        <f t="shared" si="71"/>
        <v>5</v>
      </c>
      <c r="AR8" s="783">
        <f t="shared" si="1"/>
        <v>5</v>
      </c>
      <c r="AS8" s="732" t="s">
        <v>412</v>
      </c>
      <c r="AT8" s="732">
        <f t="shared" si="2"/>
        <v>73.19</v>
      </c>
      <c r="AU8" s="784">
        <f t="shared" si="72"/>
        <v>0</v>
      </c>
      <c r="AV8" s="784">
        <f t="shared" si="99"/>
        <v>0</v>
      </c>
      <c r="AW8" s="785">
        <f t="shared" si="3"/>
        <v>0</v>
      </c>
      <c r="AX8" s="786">
        <f t="shared" si="4"/>
        <v>18.238489259491555</v>
      </c>
      <c r="AY8" s="379">
        <f t="shared" si="108"/>
        <v>0</v>
      </c>
      <c r="AZ8" s="51">
        <f t="shared" si="73"/>
        <v>0</v>
      </c>
      <c r="BA8" s="53">
        <f t="shared" si="5"/>
        <v>0</v>
      </c>
      <c r="BL8" s="756">
        <f t="shared" si="100"/>
        <v>5</v>
      </c>
      <c r="BM8" s="758">
        <f t="shared" si="6"/>
        <v>5</v>
      </c>
      <c r="BN8" s="732" t="s">
        <v>412</v>
      </c>
      <c r="BO8" s="733">
        <f t="shared" si="7"/>
        <v>0</v>
      </c>
      <c r="BP8" s="379">
        <f t="shared" si="74"/>
        <v>0</v>
      </c>
      <c r="BQ8" s="733">
        <f t="shared" si="8"/>
        <v>0</v>
      </c>
      <c r="BR8" s="379">
        <f t="shared" si="75"/>
        <v>0</v>
      </c>
      <c r="BS8" s="807">
        <f t="shared" si="9"/>
        <v>0</v>
      </c>
      <c r="BT8" s="808">
        <f t="shared" si="10"/>
        <v>0</v>
      </c>
      <c r="BX8" s="842">
        <f>+BX7+1</f>
        <v>5</v>
      </c>
      <c r="BY8" s="825" t="s">
        <v>411</v>
      </c>
      <c r="BZ8" s="826">
        <v>0.37562046812353972</v>
      </c>
      <c r="CA8" s="827">
        <f>BZ8*$CA$9</f>
        <v>8547382.0029002503</v>
      </c>
      <c r="CB8" s="828"/>
      <c r="CC8" s="828">
        <v>1</v>
      </c>
      <c r="CD8" s="827">
        <f t="shared" si="11"/>
        <v>0</v>
      </c>
      <c r="CE8" s="827">
        <f t="shared" si="11"/>
        <v>8547382.0029002503</v>
      </c>
      <c r="CI8" s="730">
        <f t="shared" si="101"/>
        <v>5</v>
      </c>
      <c r="CJ8" s="746">
        <f t="shared" si="12"/>
        <v>5</v>
      </c>
      <c r="CK8" s="732" t="s">
        <v>412</v>
      </c>
      <c r="CL8" s="733">
        <f t="shared" si="13"/>
        <v>0</v>
      </c>
      <c r="CM8" s="379">
        <f t="shared" si="14"/>
        <v>0</v>
      </c>
      <c r="CN8" s="733">
        <f t="shared" si="15"/>
        <v>0</v>
      </c>
      <c r="CO8" s="379">
        <f t="shared" si="16"/>
        <v>0</v>
      </c>
      <c r="CP8" s="379">
        <f t="shared" si="17"/>
        <v>0</v>
      </c>
      <c r="CQ8" s="733">
        <f t="shared" si="18"/>
        <v>0</v>
      </c>
      <c r="CR8" s="808">
        <f t="shared" si="19"/>
        <v>0</v>
      </c>
      <c r="CX8" s="13"/>
      <c r="CY8" s="13"/>
      <c r="CZ8" s="13"/>
      <c r="DA8" s="13"/>
      <c r="DB8" s="13"/>
      <c r="DC8" s="13"/>
      <c r="DD8" s="13"/>
      <c r="DH8" s="730">
        <v>5</v>
      </c>
      <c r="DI8" s="840">
        <f t="shared" si="20"/>
        <v>5</v>
      </c>
      <c r="DJ8" s="732" t="s">
        <v>412</v>
      </c>
      <c r="DK8" s="733">
        <f t="shared" si="21"/>
        <v>0</v>
      </c>
      <c r="DL8" s="379">
        <f t="shared" si="77"/>
        <v>0</v>
      </c>
      <c r="DM8" s="733">
        <f t="shared" si="22"/>
        <v>0</v>
      </c>
      <c r="DN8" s="379">
        <f t="shared" si="23"/>
        <v>0</v>
      </c>
      <c r="DO8" s="733">
        <f t="shared" si="24"/>
        <v>0</v>
      </c>
      <c r="DP8" s="379">
        <f t="shared" si="25"/>
        <v>0</v>
      </c>
      <c r="DQ8" s="379">
        <f t="shared" si="78"/>
        <v>0</v>
      </c>
      <c r="DR8" s="733">
        <f t="shared" si="26"/>
        <v>0</v>
      </c>
      <c r="DS8" s="808">
        <f t="shared" si="27"/>
        <v>0</v>
      </c>
      <c r="DW8" s="730">
        <f t="shared" si="102"/>
        <v>5</v>
      </c>
      <c r="DX8" s="840">
        <f t="shared" si="28"/>
        <v>5</v>
      </c>
      <c r="DY8" s="732" t="s">
        <v>412</v>
      </c>
      <c r="DZ8" s="733">
        <f t="shared" si="29"/>
        <v>0</v>
      </c>
      <c r="EA8" s="379">
        <f t="shared" si="30"/>
        <v>0</v>
      </c>
      <c r="EB8" s="808">
        <f t="shared" si="31"/>
        <v>0</v>
      </c>
      <c r="EN8" s="730">
        <f t="shared" si="103"/>
        <v>5</v>
      </c>
      <c r="EO8" s="840">
        <f t="shared" si="32"/>
        <v>5</v>
      </c>
      <c r="EP8" s="732" t="s">
        <v>412</v>
      </c>
      <c r="EQ8" s="733">
        <f t="shared" si="33"/>
        <v>0</v>
      </c>
      <c r="ER8" s="379">
        <f t="shared" si="34"/>
        <v>0</v>
      </c>
      <c r="ES8" s="733">
        <f t="shared" si="35"/>
        <v>0</v>
      </c>
      <c r="ET8" s="379">
        <f t="shared" si="36"/>
        <v>0</v>
      </c>
      <c r="EU8" s="733">
        <f t="shared" si="37"/>
        <v>0</v>
      </c>
      <c r="EV8" s="379">
        <f t="shared" si="38"/>
        <v>0</v>
      </c>
      <c r="EW8" s="379">
        <f t="shared" si="39"/>
        <v>0</v>
      </c>
      <c r="EX8" s="733">
        <f t="shared" si="40"/>
        <v>0</v>
      </c>
      <c r="EY8" s="808">
        <f t="shared" si="41"/>
        <v>0</v>
      </c>
      <c r="FI8" s="730">
        <f t="shared" si="104"/>
        <v>5</v>
      </c>
      <c r="FJ8" s="731">
        <f t="shared" si="42"/>
        <v>5</v>
      </c>
      <c r="FK8" s="732" t="s">
        <v>412</v>
      </c>
      <c r="FL8" s="733">
        <f t="shared" si="43"/>
        <v>0</v>
      </c>
      <c r="FM8" s="379">
        <f t="shared" si="44"/>
        <v>0</v>
      </c>
      <c r="FN8" s="808">
        <f t="shared" si="45"/>
        <v>0</v>
      </c>
      <c r="FR8" s="730">
        <f t="shared" si="105"/>
        <v>5</v>
      </c>
      <c r="FS8" s="731">
        <v>5</v>
      </c>
      <c r="FT8" s="732" t="s">
        <v>412</v>
      </c>
      <c r="FU8" s="379">
        <f t="shared" si="46"/>
        <v>0</v>
      </c>
      <c r="FV8" s="379">
        <f t="shared" si="47"/>
        <v>0</v>
      </c>
      <c r="FW8" s="379">
        <f t="shared" si="48"/>
        <v>0</v>
      </c>
      <c r="FX8" s="379">
        <f t="shared" si="49"/>
        <v>0</v>
      </c>
      <c r="FY8" s="379">
        <f t="shared" si="50"/>
        <v>0</v>
      </c>
      <c r="FZ8" s="379">
        <f t="shared" si="51"/>
        <v>0</v>
      </c>
      <c r="GA8" s="379">
        <f t="shared" si="52"/>
        <v>0</v>
      </c>
      <c r="GB8" s="379">
        <f t="shared" si="53"/>
        <v>0</v>
      </c>
      <c r="GC8" s="852">
        <f t="shared" si="54"/>
        <v>0</v>
      </c>
      <c r="GG8" s="730">
        <f t="shared" si="79"/>
        <v>5</v>
      </c>
      <c r="GH8" s="731">
        <f t="shared" si="55"/>
        <v>5</v>
      </c>
      <c r="GI8" s="732" t="s">
        <v>412</v>
      </c>
      <c r="GJ8" s="808">
        <f t="shared" si="56"/>
        <v>0</v>
      </c>
      <c r="GK8" s="808">
        <f t="shared" si="57"/>
        <v>0</v>
      </c>
      <c r="GL8" s="808">
        <f t="shared" si="58"/>
        <v>0</v>
      </c>
      <c r="GM8" s="808">
        <f t="shared" si="59"/>
        <v>0</v>
      </c>
      <c r="GN8" s="808">
        <f t="shared" si="60"/>
        <v>0</v>
      </c>
      <c r="GO8" s="808">
        <f t="shared" si="61"/>
        <v>0</v>
      </c>
      <c r="GP8" s="808">
        <f t="shared" si="62"/>
        <v>0</v>
      </c>
      <c r="GQ8" s="808">
        <f t="shared" si="63"/>
        <v>0</v>
      </c>
      <c r="GR8" s="784">
        <f t="shared" si="80"/>
        <v>0</v>
      </c>
      <c r="GS8" s="716"/>
      <c r="GV8" s="717">
        <f t="shared" si="81"/>
        <v>5</v>
      </c>
      <c r="GW8" s="731">
        <v>5</v>
      </c>
      <c r="GX8" s="732" t="s">
        <v>412</v>
      </c>
      <c r="GY8" s="758" t="s">
        <v>402</v>
      </c>
      <c r="GZ8" s="906">
        <f t="shared" si="82"/>
        <v>0</v>
      </c>
      <c r="HA8" s="784">
        <f t="shared" si="83"/>
        <v>0</v>
      </c>
      <c r="HB8" s="922">
        <v>3149</v>
      </c>
      <c r="HC8" s="942">
        <f t="shared" si="85"/>
        <v>0</v>
      </c>
      <c r="HD8" s="857">
        <v>0</v>
      </c>
      <c r="HE8" s="54"/>
      <c r="HH8" s="54"/>
      <c r="HI8" s="54"/>
      <c r="HJ8" s="54"/>
      <c r="HK8" s="54"/>
      <c r="HL8" s="54"/>
      <c r="HM8" s="54"/>
      <c r="HN8" s="54"/>
      <c r="HQ8" s="730">
        <v>5</v>
      </c>
      <c r="HR8" s="867">
        <v>5</v>
      </c>
      <c r="HS8" s="732" t="s">
        <v>412</v>
      </c>
      <c r="HT8" s="784">
        <f t="shared" si="86"/>
        <v>0</v>
      </c>
      <c r="HU8" s="917">
        <f t="shared" si="87"/>
        <v>3149</v>
      </c>
      <c r="HV8" s="868"/>
      <c r="HW8" s="765"/>
      <c r="HX8" s="868">
        <v>0</v>
      </c>
      <c r="HY8" s="766">
        <v>10000</v>
      </c>
      <c r="IP8" s="730">
        <v>5</v>
      </c>
      <c r="IQ8" s="867">
        <v>5</v>
      </c>
      <c r="IR8" s="732" t="s">
        <v>412</v>
      </c>
      <c r="IS8" s="913">
        <f t="shared" si="106"/>
        <v>0</v>
      </c>
      <c r="IT8" s="915">
        <f t="shared" si="88"/>
        <v>0</v>
      </c>
      <c r="IU8" s="918">
        <f t="shared" si="89"/>
        <v>3149</v>
      </c>
      <c r="IV8" s="904">
        <v>0</v>
      </c>
      <c r="IW8" s="904">
        <f t="shared" si="91"/>
        <v>0</v>
      </c>
      <c r="IX8" s="913">
        <v>0</v>
      </c>
      <c r="IY8" s="881">
        <f t="shared" si="93"/>
        <v>0</v>
      </c>
      <c r="IZ8" s="928">
        <v>3149</v>
      </c>
      <c r="JA8" s="929">
        <f>IZ8</f>
        <v>3149</v>
      </c>
      <c r="JB8" s="913">
        <f t="shared" si="107"/>
        <v>0</v>
      </c>
      <c r="JC8" s="852">
        <v>0</v>
      </c>
      <c r="JG8" s="730">
        <v>5</v>
      </c>
      <c r="JH8" s="867">
        <v>5</v>
      </c>
      <c r="JI8" s="732" t="s">
        <v>412</v>
      </c>
      <c r="JJ8" s="784">
        <f t="shared" si="96"/>
        <v>0</v>
      </c>
      <c r="JK8" s="917">
        <f t="shared" si="97"/>
        <v>3149</v>
      </c>
      <c r="JL8" s="868">
        <v>3149</v>
      </c>
      <c r="JM8" s="765"/>
      <c r="JN8" s="868"/>
      <c r="JO8" s="766">
        <v>10000</v>
      </c>
      <c r="JT8" s="936">
        <v>7.0775299265402563</v>
      </c>
      <c r="JU8" s="936">
        <f t="shared" si="64"/>
        <v>-2.072670643005825E-2</v>
      </c>
      <c r="JV8" s="13">
        <v>7728396</v>
      </c>
      <c r="JW8" s="13">
        <f t="shared" si="65"/>
        <v>-99127.002049922012</v>
      </c>
    </row>
    <row r="9" spans="1:294" ht="17.25" thickBot="1" x14ac:dyDescent="0.35">
      <c r="B9" s="338">
        <v>6</v>
      </c>
      <c r="C9" s="770" t="s">
        <v>51</v>
      </c>
      <c r="D9" s="906">
        <f>'ABDA 3 month Phase I'!LR27+'ABDA 3 month Phase I'!LT27</f>
        <v>3577342.9690406607</v>
      </c>
      <c r="E9" s="768">
        <v>3.1544206870466232E-2</v>
      </c>
      <c r="F9" s="769">
        <v>0.16318212105471561</v>
      </c>
      <c r="J9" s="338">
        <v>6</v>
      </c>
      <c r="K9" s="759">
        <v>6</v>
      </c>
      <c r="L9" s="518" t="s">
        <v>413</v>
      </c>
      <c r="M9" s="904">
        <v>7629268.997950078</v>
      </c>
      <c r="N9" s="943">
        <f t="shared" si="66"/>
        <v>3.4801256350221878E-3</v>
      </c>
      <c r="O9" s="455">
        <v>1748.7241650294695</v>
      </c>
      <c r="P9" s="948">
        <f t="shared" si="67"/>
        <v>4362.7629505660252</v>
      </c>
      <c r="Q9" s="659">
        <f t="shared" si="68"/>
        <v>2.4896414795068048E-3</v>
      </c>
      <c r="R9" s="322" t="s">
        <v>397</v>
      </c>
      <c r="V9" s="734">
        <f t="shared" si="98"/>
        <v>6</v>
      </c>
      <c r="W9" s="735">
        <f t="shared" si="0"/>
        <v>6</v>
      </c>
      <c r="X9" s="518" t="s">
        <v>413</v>
      </c>
      <c r="Y9" s="924">
        <f t="shared" si="69"/>
        <v>417244.46082743391</v>
      </c>
      <c r="Z9" s="943">
        <f t="shared" si="70"/>
        <v>4.9998740385139E-3</v>
      </c>
      <c r="AD9" s="734">
        <v>6</v>
      </c>
      <c r="AE9" s="146">
        <v>6</v>
      </c>
      <c r="AF9" s="347" t="s">
        <v>413</v>
      </c>
      <c r="AG9" s="369">
        <v>6.16</v>
      </c>
      <c r="AQ9" s="734">
        <f t="shared" si="71"/>
        <v>6</v>
      </c>
      <c r="AR9" s="787">
        <f t="shared" si="1"/>
        <v>6</v>
      </c>
      <c r="AS9" s="518" t="s">
        <v>413</v>
      </c>
      <c r="AT9" s="518">
        <f t="shared" si="2"/>
        <v>6.16</v>
      </c>
      <c r="AU9" s="788">
        <f t="shared" si="72"/>
        <v>7629268.997950078</v>
      </c>
      <c r="AV9" s="788">
        <f t="shared" si="99"/>
        <v>13054.526952047911</v>
      </c>
      <c r="AW9" s="789">
        <f t="shared" si="3"/>
        <v>13589.819641239652</v>
      </c>
      <c r="AX9" s="790">
        <f t="shared" si="4"/>
        <v>18.238489259491555</v>
      </c>
      <c r="AY9" s="358">
        <f t="shared" si="108"/>
        <v>247857.77956517678</v>
      </c>
      <c r="AZ9" s="35">
        <f t="shared" si="73"/>
        <v>6.9021446311630713E-3</v>
      </c>
      <c r="BA9" s="55">
        <f t="shared" si="5"/>
        <v>3.2487750000000002</v>
      </c>
      <c r="BL9" s="338">
        <f t="shared" si="100"/>
        <v>6</v>
      </c>
      <c r="BM9" s="322">
        <f t="shared" si="6"/>
        <v>6</v>
      </c>
      <c r="BN9" s="518" t="s">
        <v>413</v>
      </c>
      <c r="BO9" s="659">
        <f t="shared" si="7"/>
        <v>6.9021446311630713E-3</v>
      </c>
      <c r="BP9" s="358">
        <f t="shared" si="74"/>
        <v>54220.479985926206</v>
      </c>
      <c r="BQ9" s="659">
        <f t="shared" si="8"/>
        <v>3.4801256350221878E-3</v>
      </c>
      <c r="BR9" s="358">
        <f t="shared" si="75"/>
        <v>27338.471218102055</v>
      </c>
      <c r="BS9" s="809">
        <f t="shared" si="9"/>
        <v>81558.951204028257</v>
      </c>
      <c r="BT9" s="810">
        <f t="shared" si="10"/>
        <v>1.0690269999999999</v>
      </c>
      <c r="BX9" s="421">
        <v>6</v>
      </c>
      <c r="BY9" s="63" t="s">
        <v>72</v>
      </c>
      <c r="BZ9" s="65">
        <f>SUM(BZ4:BZ8)</f>
        <v>1</v>
      </c>
      <c r="CA9" s="66">
        <v>22755368.059679482</v>
      </c>
      <c r="CB9" s="67"/>
      <c r="CC9" s="67"/>
      <c r="CD9" s="66">
        <f>SUM(CD4:CD8)</f>
        <v>5354240.1246443363</v>
      </c>
      <c r="CE9" s="66">
        <f>SUM(CE4:CE8)</f>
        <v>17401127.935035147</v>
      </c>
      <c r="CI9" s="734">
        <f t="shared" si="101"/>
        <v>6</v>
      </c>
      <c r="CJ9" s="146">
        <f t="shared" si="12"/>
        <v>6</v>
      </c>
      <c r="CK9" s="518" t="s">
        <v>413</v>
      </c>
      <c r="CL9" s="344">
        <f t="shared" si="13"/>
        <v>3.4801256350221878E-3</v>
      </c>
      <c r="CM9" s="20">
        <f t="shared" si="14"/>
        <v>18633.428313839147</v>
      </c>
      <c r="CN9" s="344">
        <f t="shared" si="15"/>
        <v>2.4896414795068048E-3</v>
      </c>
      <c r="CO9" s="20">
        <f t="shared" si="16"/>
        <v>43322.569897268091</v>
      </c>
      <c r="CP9" s="20">
        <f t="shared" si="17"/>
        <v>61955.998211107239</v>
      </c>
      <c r="CQ9" s="344">
        <f t="shared" si="18"/>
        <v>2.7226981364844561E-3</v>
      </c>
      <c r="CR9" s="342">
        <f t="shared" si="19"/>
        <v>0.812083</v>
      </c>
      <c r="DH9" s="734">
        <v>6</v>
      </c>
      <c r="DI9" s="745">
        <f t="shared" si="20"/>
        <v>6</v>
      </c>
      <c r="DJ9" s="518" t="s">
        <v>413</v>
      </c>
      <c r="DK9" s="344">
        <f t="shared" si="21"/>
        <v>2.7226981364844561E-3</v>
      </c>
      <c r="DL9" s="20">
        <f t="shared" si="77"/>
        <v>855.56609770506623</v>
      </c>
      <c r="DM9" s="344">
        <f t="shared" si="22"/>
        <v>2.4896414795068048E-3</v>
      </c>
      <c r="DN9" s="20">
        <f t="shared" si="23"/>
        <v>4841.664184362483</v>
      </c>
      <c r="DO9" s="344">
        <f t="shared" si="24"/>
        <v>3.4801256350221878E-3</v>
      </c>
      <c r="DP9" s="20">
        <f t="shared" si="25"/>
        <v>11268.200122908454</v>
      </c>
      <c r="DQ9" s="20">
        <f t="shared" si="78"/>
        <v>16965.430404976003</v>
      </c>
      <c r="DR9" s="344">
        <f t="shared" si="26"/>
        <v>3.0864027378652535E-3</v>
      </c>
      <c r="DS9" s="342">
        <f t="shared" si="27"/>
        <v>0.22237299999999999</v>
      </c>
      <c r="DW9" s="734">
        <f t="shared" si="102"/>
        <v>6</v>
      </c>
      <c r="DX9" s="745">
        <f t="shared" si="28"/>
        <v>6</v>
      </c>
      <c r="DY9" s="518" t="s">
        <v>413</v>
      </c>
      <c r="DZ9" s="344">
        <f t="shared" si="29"/>
        <v>2.4896414795068048E-3</v>
      </c>
      <c r="EA9" s="20">
        <f t="shared" si="30"/>
        <v>8906.3014421456555</v>
      </c>
      <c r="EB9" s="342">
        <f t="shared" si="31"/>
        <v>0.116739</v>
      </c>
      <c r="EN9" s="734">
        <f t="shared" si="103"/>
        <v>6</v>
      </c>
      <c r="EO9" s="745">
        <f t="shared" si="32"/>
        <v>6</v>
      </c>
      <c r="EP9" s="518" t="s">
        <v>413</v>
      </c>
      <c r="EQ9" s="344">
        <f t="shared" si="33"/>
        <v>4.9998740385139E-3</v>
      </c>
      <c r="ER9" s="20">
        <f t="shared" si="34"/>
        <v>35595.470493285189</v>
      </c>
      <c r="ES9" s="344">
        <f t="shared" si="35"/>
        <v>2.7226981364844561E-3</v>
      </c>
      <c r="ET9" s="20">
        <f t="shared" si="36"/>
        <v>2613.4487329908293</v>
      </c>
      <c r="EU9" s="344">
        <f t="shared" si="37"/>
        <v>3.4801256350221878E-3</v>
      </c>
      <c r="EV9" s="20">
        <f t="shared" si="38"/>
        <v>8949.7006740556353</v>
      </c>
      <c r="EW9" s="20">
        <f t="shared" si="39"/>
        <v>47158.619900331658</v>
      </c>
      <c r="EX9" s="344">
        <f t="shared" si="40"/>
        <v>4.4277033975588104E-3</v>
      </c>
      <c r="EY9" s="342">
        <f t="shared" si="41"/>
        <v>0.61812800000000001</v>
      </c>
      <c r="FI9" s="734">
        <f t="shared" si="104"/>
        <v>6</v>
      </c>
      <c r="FJ9" s="735">
        <f t="shared" si="42"/>
        <v>6</v>
      </c>
      <c r="FK9" s="518" t="s">
        <v>413</v>
      </c>
      <c r="FL9" s="344">
        <f t="shared" si="43"/>
        <v>4.9998740385139E-3</v>
      </c>
      <c r="FM9" s="20">
        <f t="shared" si="44"/>
        <v>93965.775507769096</v>
      </c>
      <c r="FN9" s="342">
        <f t="shared" si="45"/>
        <v>1.2316480000000001</v>
      </c>
      <c r="FR9" s="734">
        <f t="shared" si="105"/>
        <v>6</v>
      </c>
      <c r="FS9" s="735">
        <v>6</v>
      </c>
      <c r="FT9" s="518" t="s">
        <v>413</v>
      </c>
      <c r="FU9" s="20">
        <f t="shared" si="46"/>
        <v>247857.77956517678</v>
      </c>
      <c r="FV9" s="20">
        <f t="shared" si="47"/>
        <v>81558.951204028257</v>
      </c>
      <c r="FW9" s="20">
        <f t="shared" si="48"/>
        <v>61955.998211107239</v>
      </c>
      <c r="FX9" s="20">
        <f t="shared" si="49"/>
        <v>16965.430404976003</v>
      </c>
      <c r="FY9" s="20">
        <f t="shared" si="50"/>
        <v>8906.3014421456555</v>
      </c>
      <c r="FZ9" s="20">
        <f t="shared" si="51"/>
        <v>47158.619900331658</v>
      </c>
      <c r="GA9" s="20">
        <f t="shared" si="52"/>
        <v>93965.775507769096</v>
      </c>
      <c r="GB9" s="20">
        <f t="shared" si="53"/>
        <v>558368.85623553465</v>
      </c>
      <c r="GC9" s="414">
        <f t="shared" si="54"/>
        <v>7.3187730000000002</v>
      </c>
      <c r="GG9" s="734">
        <f t="shared" si="79"/>
        <v>6</v>
      </c>
      <c r="GH9" s="735">
        <f t="shared" si="55"/>
        <v>6</v>
      </c>
      <c r="GI9" s="518" t="s">
        <v>413</v>
      </c>
      <c r="GJ9" s="342">
        <f t="shared" si="56"/>
        <v>3.2487750000000002</v>
      </c>
      <c r="GK9" s="342">
        <f t="shared" si="57"/>
        <v>1.0690269999999999</v>
      </c>
      <c r="GL9" s="342">
        <f t="shared" si="58"/>
        <v>0.812083</v>
      </c>
      <c r="GM9" s="342">
        <f t="shared" si="59"/>
        <v>0.22237299999999999</v>
      </c>
      <c r="GN9" s="342">
        <f t="shared" si="60"/>
        <v>0.116739</v>
      </c>
      <c r="GO9" s="342">
        <f t="shared" si="61"/>
        <v>0.61812800000000001</v>
      </c>
      <c r="GP9" s="342">
        <f t="shared" si="62"/>
        <v>1.2316480000000001</v>
      </c>
      <c r="GQ9" s="342">
        <f t="shared" si="63"/>
        <v>7.3187730000000002</v>
      </c>
      <c r="GR9" s="788">
        <f t="shared" si="80"/>
        <v>7629268.997950078</v>
      </c>
      <c r="GS9" s="716"/>
      <c r="GV9" s="718">
        <f t="shared" si="81"/>
        <v>6</v>
      </c>
      <c r="GW9" s="735">
        <v>6</v>
      </c>
      <c r="GX9" s="518" t="s">
        <v>413</v>
      </c>
      <c r="GY9" s="322" t="s">
        <v>397</v>
      </c>
      <c r="GZ9" s="924">
        <f t="shared" si="82"/>
        <v>558368.85623553465</v>
      </c>
      <c r="HA9" s="788">
        <f t="shared" si="83"/>
        <v>7629268.997950078</v>
      </c>
      <c r="HB9" s="922">
        <f t="shared" ref="HB9:HB27" si="109">ROUND(IF(HA9&lt;&gt;0,GZ9/HA9*100,0),6)</f>
        <v>7.3187730000000002</v>
      </c>
      <c r="HC9" s="942">
        <f t="shared" si="85"/>
        <v>558368.87951934082</v>
      </c>
      <c r="HD9" s="858">
        <v>2.5401523569598794E-2</v>
      </c>
      <c r="HE9" s="54"/>
      <c r="HH9" s="54"/>
      <c r="HI9" s="54"/>
      <c r="HJ9" s="54"/>
      <c r="HK9" s="54"/>
      <c r="HL9" s="54"/>
      <c r="HM9" s="54"/>
      <c r="HN9" s="54"/>
      <c r="HQ9" s="734">
        <v>6</v>
      </c>
      <c r="HR9" s="869">
        <v>6</v>
      </c>
      <c r="HS9" s="518" t="s">
        <v>413</v>
      </c>
      <c r="HT9" s="788">
        <f t="shared" si="86"/>
        <v>7629268.997950078</v>
      </c>
      <c r="HU9" s="917">
        <f t="shared" si="87"/>
        <v>7.3187730000000002</v>
      </c>
      <c r="HV9" s="870"/>
      <c r="HW9" s="768"/>
      <c r="HX9" s="870">
        <v>-2.1061819999999996</v>
      </c>
      <c r="HY9" s="769">
        <v>10</v>
      </c>
      <c r="IP9" s="734">
        <v>6</v>
      </c>
      <c r="IQ9" s="869">
        <v>6</v>
      </c>
      <c r="IR9" s="518" t="s">
        <v>413</v>
      </c>
      <c r="IS9" s="913">
        <f t="shared" si="106"/>
        <v>558368.87951934082</v>
      </c>
      <c r="IT9" s="915">
        <f t="shared" si="88"/>
        <v>7629268.997950078</v>
      </c>
      <c r="IU9" s="919">
        <f t="shared" si="89"/>
        <v>7.3187730000000002</v>
      </c>
      <c r="IV9" s="904">
        <f t="shared" ref="IV9:IV14" si="110">IT9*$IK$4/(1-$IL$4)</f>
        <v>1121585.7883467746</v>
      </c>
      <c r="IW9" s="904">
        <f t="shared" si="91"/>
        <v>6507683.2096033031</v>
      </c>
      <c r="IX9" s="913">
        <f t="shared" ref="IX9:IX14" si="111">IV9*$II$4</f>
        <v>16823.78682520162</v>
      </c>
      <c r="IY9" s="882">
        <f t="shared" si="93"/>
        <v>541545.09269413922</v>
      </c>
      <c r="IZ9" s="928">
        <f t="shared" ref="IZ9:IZ14" si="112">100*IY9/IT9</f>
        <v>7.0982566329703145</v>
      </c>
      <c r="JA9" s="928">
        <f t="shared" ref="JA9:JA14" si="113">IZ9+1.5</f>
        <v>8.5982566329703154</v>
      </c>
      <c r="JB9" s="913">
        <f t="shared" si="107"/>
        <v>558368.87951934082</v>
      </c>
      <c r="JC9" s="883">
        <v>0.22223336728629928</v>
      </c>
      <c r="JG9" s="734">
        <v>6</v>
      </c>
      <c r="JH9" s="869">
        <v>6</v>
      </c>
      <c r="JI9" s="518" t="s">
        <v>413</v>
      </c>
      <c r="JJ9" s="788">
        <f t="shared" si="96"/>
        <v>7629268.997950078</v>
      </c>
      <c r="JK9" s="917">
        <f t="shared" si="97"/>
        <v>7.0982566329703145</v>
      </c>
      <c r="JL9" s="870">
        <v>9.234</v>
      </c>
      <c r="JM9" s="768"/>
      <c r="JN9" s="870"/>
      <c r="JO9" s="769">
        <v>10</v>
      </c>
      <c r="JT9" s="936">
        <v>6.961513926540257</v>
      </c>
      <c r="JU9" s="936">
        <f t="shared" si="64"/>
        <v>-2.380870643005828E-2</v>
      </c>
      <c r="JV9" s="13">
        <v>39453520</v>
      </c>
      <c r="JW9" s="13">
        <f t="shared" si="65"/>
        <v>-41286.595563627779</v>
      </c>
    </row>
    <row r="10" spans="1:294" x14ac:dyDescent="0.3">
      <c r="B10" s="756">
        <v>7</v>
      </c>
      <c r="C10" s="764" t="s">
        <v>54</v>
      </c>
      <c r="D10" s="906">
        <f>'ABDA 3 month Phase I'!LX27</f>
        <v>10650808.255659647</v>
      </c>
      <c r="E10" s="765">
        <v>9.3916435148038185E-2</v>
      </c>
      <c r="F10" s="766">
        <v>0.48584144633236104</v>
      </c>
      <c r="J10" s="756">
        <v>7</v>
      </c>
      <c r="K10" s="757">
        <v>7</v>
      </c>
      <c r="L10" s="732" t="s">
        <v>414</v>
      </c>
      <c r="M10" s="904">
        <v>39412233.404436372</v>
      </c>
      <c r="N10" s="944">
        <f t="shared" si="66"/>
        <v>1.7978068913432E-2</v>
      </c>
      <c r="O10" s="753">
        <v>896.12073276521915</v>
      </c>
      <c r="P10" s="948">
        <f t="shared" si="67"/>
        <v>43980.941365812876</v>
      </c>
      <c r="Q10" s="733">
        <f t="shared" si="68"/>
        <v>2.5098034702499314E-2</v>
      </c>
      <c r="R10" s="758" t="s">
        <v>397</v>
      </c>
      <c r="V10" s="730">
        <f t="shared" si="98"/>
        <v>7</v>
      </c>
      <c r="W10" s="731">
        <f t="shared" si="0"/>
        <v>7</v>
      </c>
      <c r="X10" s="732" t="s">
        <v>414</v>
      </c>
      <c r="Y10" s="924">
        <f t="shared" si="69"/>
        <v>2114636.5610029604</v>
      </c>
      <c r="Z10" s="944">
        <f t="shared" si="70"/>
        <v>2.5339860525131853E-2</v>
      </c>
      <c r="AD10" s="730">
        <v>7</v>
      </c>
      <c r="AE10" s="746">
        <v>7</v>
      </c>
      <c r="AF10" s="747" t="s">
        <v>414</v>
      </c>
      <c r="AG10" s="748">
        <v>4.88</v>
      </c>
      <c r="AQ10" s="730">
        <f t="shared" si="71"/>
        <v>7</v>
      </c>
      <c r="AR10" s="783">
        <f t="shared" si="1"/>
        <v>7</v>
      </c>
      <c r="AS10" s="732" t="s">
        <v>414</v>
      </c>
      <c r="AT10" s="732">
        <f t="shared" si="2"/>
        <v>4.88</v>
      </c>
      <c r="AU10" s="784">
        <f t="shared" si="72"/>
        <v>39412233.404436372</v>
      </c>
      <c r="AV10" s="784">
        <f t="shared" si="99"/>
        <v>53425.471948235972</v>
      </c>
      <c r="AW10" s="785">
        <f t="shared" si="3"/>
        <v>55616.149914243993</v>
      </c>
      <c r="AX10" s="786">
        <f t="shared" si="4"/>
        <v>18.238489259491555</v>
      </c>
      <c r="AY10" s="379">
        <f t="shared" si="108"/>
        <v>1014354.5528652113</v>
      </c>
      <c r="AZ10" s="51">
        <f t="shared" si="73"/>
        <v>2.8246931943943249E-2</v>
      </c>
      <c r="BA10" s="53">
        <f t="shared" si="5"/>
        <v>2.5737049999999999</v>
      </c>
      <c r="BL10" s="756">
        <f t="shared" si="100"/>
        <v>7</v>
      </c>
      <c r="BM10" s="758">
        <f t="shared" si="6"/>
        <v>7</v>
      </c>
      <c r="BN10" s="732" t="s">
        <v>414</v>
      </c>
      <c r="BO10" s="733">
        <f t="shared" si="7"/>
        <v>2.8246931943943249E-2</v>
      </c>
      <c r="BP10" s="379">
        <f t="shared" si="74"/>
        <v>221896.56838186437</v>
      </c>
      <c r="BQ10" s="733">
        <f t="shared" si="8"/>
        <v>1.7978068913432E-2</v>
      </c>
      <c r="BR10" s="379">
        <f t="shared" si="75"/>
        <v>141228.4989371605</v>
      </c>
      <c r="BS10" s="807">
        <f t="shared" si="9"/>
        <v>363125.06731902488</v>
      </c>
      <c r="BT10" s="808">
        <f t="shared" si="10"/>
        <v>0.92135100000000003</v>
      </c>
      <c r="BW10" s="1"/>
      <c r="BX10" s="280"/>
      <c r="BY10" s="10"/>
      <c r="BZ10" s="10"/>
      <c r="CA10" s="10"/>
      <c r="CB10" s="10"/>
      <c r="CC10" s="10"/>
      <c r="CD10" s="10"/>
      <c r="CE10" s="10"/>
      <c r="CI10" s="730">
        <f t="shared" si="101"/>
        <v>7</v>
      </c>
      <c r="CJ10" s="746">
        <f t="shared" si="12"/>
        <v>7</v>
      </c>
      <c r="CK10" s="732" t="s">
        <v>414</v>
      </c>
      <c r="CL10" s="733">
        <f t="shared" si="13"/>
        <v>1.7978068913432E-2</v>
      </c>
      <c r="CM10" s="379">
        <f t="shared" si="14"/>
        <v>96258.897939918621</v>
      </c>
      <c r="CN10" s="733">
        <f t="shared" si="15"/>
        <v>2.5098034702499314E-2</v>
      </c>
      <c r="CO10" s="379">
        <f t="shared" si="16"/>
        <v>436734.11277614231</v>
      </c>
      <c r="CP10" s="379">
        <f t="shared" si="17"/>
        <v>532993.01071606087</v>
      </c>
      <c r="CQ10" s="733">
        <f t="shared" si="18"/>
        <v>2.342273740939738E-2</v>
      </c>
      <c r="CR10" s="808">
        <f t="shared" si="19"/>
        <v>1.3523540000000001</v>
      </c>
      <c r="DC10" s="2" t="s">
        <v>445</v>
      </c>
      <c r="DD10" s="912">
        <v>5448128.1456260383</v>
      </c>
      <c r="DE10" s="1"/>
      <c r="DH10" s="730">
        <v>7</v>
      </c>
      <c r="DI10" s="840">
        <f t="shared" si="20"/>
        <v>7</v>
      </c>
      <c r="DJ10" s="732" t="s">
        <v>414</v>
      </c>
      <c r="DK10" s="733">
        <f t="shared" si="21"/>
        <v>2.342273740939738E-2</v>
      </c>
      <c r="DL10" s="379">
        <f t="shared" si="77"/>
        <v>7360.2357067771818</v>
      </c>
      <c r="DM10" s="733">
        <f t="shared" si="22"/>
        <v>2.5098034702499314E-2</v>
      </c>
      <c r="DN10" s="379">
        <f t="shared" si="23"/>
        <v>48808.736806975867</v>
      </c>
      <c r="DO10" s="733">
        <f t="shared" si="24"/>
        <v>1.7978068913432E-2</v>
      </c>
      <c r="DP10" s="379">
        <f t="shared" si="25"/>
        <v>58210.679609185878</v>
      </c>
      <c r="DQ10" s="379">
        <f t="shared" si="78"/>
        <v>114379.65212293892</v>
      </c>
      <c r="DR10" s="733">
        <f t="shared" si="26"/>
        <v>2.0808294457697447E-2</v>
      </c>
      <c r="DS10" s="808">
        <f t="shared" si="27"/>
        <v>0.29021400000000003</v>
      </c>
      <c r="DW10" s="730">
        <f t="shared" si="102"/>
        <v>7</v>
      </c>
      <c r="DX10" s="840">
        <f t="shared" si="28"/>
        <v>7</v>
      </c>
      <c r="DY10" s="732" t="s">
        <v>414</v>
      </c>
      <c r="DZ10" s="733">
        <f t="shared" si="29"/>
        <v>2.5098034702499314E-2</v>
      </c>
      <c r="EA10" s="379">
        <f t="shared" si="30"/>
        <v>89784.277979724429</v>
      </c>
      <c r="EB10" s="808">
        <f t="shared" si="31"/>
        <v>0.22780800000000001</v>
      </c>
      <c r="EH10" s="4"/>
      <c r="EI10" s="4"/>
      <c r="EJ10" s="4"/>
      <c r="EN10" s="730">
        <f t="shared" si="103"/>
        <v>7</v>
      </c>
      <c r="EO10" s="840">
        <f t="shared" si="32"/>
        <v>7</v>
      </c>
      <c r="EP10" s="732" t="s">
        <v>414</v>
      </c>
      <c r="EQ10" s="733">
        <f t="shared" si="33"/>
        <v>2.5339860525131853E-2</v>
      </c>
      <c r="ER10" s="379">
        <f t="shared" si="34"/>
        <v>180401.39625085186</v>
      </c>
      <c r="ES10" s="733">
        <f t="shared" si="35"/>
        <v>2.342273740939738E-2</v>
      </c>
      <c r="ET10" s="379">
        <f t="shared" si="36"/>
        <v>22482.890257091105</v>
      </c>
      <c r="EU10" s="733">
        <f t="shared" si="37"/>
        <v>1.7978068913432E-2</v>
      </c>
      <c r="EV10" s="379">
        <f t="shared" si="38"/>
        <v>46233.484749390438</v>
      </c>
      <c r="EW10" s="379">
        <f t="shared" si="39"/>
        <v>249117.7712573334</v>
      </c>
      <c r="EX10" s="733">
        <f t="shared" si="40"/>
        <v>2.338956493043208E-2</v>
      </c>
      <c r="EY10" s="808">
        <f t="shared" si="41"/>
        <v>0.63208200000000003</v>
      </c>
      <c r="FI10" s="730">
        <f t="shared" si="104"/>
        <v>7</v>
      </c>
      <c r="FJ10" s="731">
        <f t="shared" si="42"/>
        <v>7</v>
      </c>
      <c r="FK10" s="732" t="s">
        <v>414</v>
      </c>
      <c r="FL10" s="733">
        <f t="shared" si="43"/>
        <v>2.5339860525131853E-2</v>
      </c>
      <c r="FM10" s="379">
        <f t="shared" si="44"/>
        <v>476227.92637600965</v>
      </c>
      <c r="FN10" s="808">
        <f t="shared" si="45"/>
        <v>1.2083250000000001</v>
      </c>
      <c r="FR10" s="730">
        <f t="shared" si="105"/>
        <v>7</v>
      </c>
      <c r="FS10" s="731">
        <v>7</v>
      </c>
      <c r="FT10" s="732" t="s">
        <v>414</v>
      </c>
      <c r="FU10" s="379">
        <f t="shared" si="46"/>
        <v>1014354.5528652113</v>
      </c>
      <c r="FV10" s="379">
        <f t="shared" si="47"/>
        <v>363125.06731902488</v>
      </c>
      <c r="FW10" s="379">
        <f t="shared" si="48"/>
        <v>532993.01071606087</v>
      </c>
      <c r="FX10" s="379">
        <f t="shared" si="49"/>
        <v>114379.65212293892</v>
      </c>
      <c r="FY10" s="379">
        <f t="shared" si="50"/>
        <v>89784.277979724429</v>
      </c>
      <c r="FZ10" s="379">
        <f t="shared" si="51"/>
        <v>249117.7712573334</v>
      </c>
      <c r="GA10" s="379">
        <f t="shared" si="52"/>
        <v>476227.92637600965</v>
      </c>
      <c r="GB10" s="379">
        <f t="shared" si="53"/>
        <v>2839982.2586363037</v>
      </c>
      <c r="GC10" s="852">
        <f t="shared" si="54"/>
        <v>7.2058390000000001</v>
      </c>
      <c r="GG10" s="730">
        <f t="shared" si="79"/>
        <v>7</v>
      </c>
      <c r="GH10" s="731">
        <f t="shared" si="55"/>
        <v>7</v>
      </c>
      <c r="GI10" s="732" t="s">
        <v>414</v>
      </c>
      <c r="GJ10" s="808">
        <f t="shared" si="56"/>
        <v>2.5737049999999999</v>
      </c>
      <c r="GK10" s="808">
        <f t="shared" si="57"/>
        <v>0.92135100000000003</v>
      </c>
      <c r="GL10" s="808">
        <f t="shared" si="58"/>
        <v>1.3523540000000001</v>
      </c>
      <c r="GM10" s="808">
        <f t="shared" si="59"/>
        <v>0.29021400000000003</v>
      </c>
      <c r="GN10" s="808">
        <f t="shared" si="60"/>
        <v>0.22780800000000001</v>
      </c>
      <c r="GO10" s="808">
        <f t="shared" si="61"/>
        <v>0.63208200000000003</v>
      </c>
      <c r="GP10" s="808">
        <f t="shared" si="62"/>
        <v>1.2083250000000001</v>
      </c>
      <c r="GQ10" s="808">
        <f t="shared" si="63"/>
        <v>7.2058390000000001</v>
      </c>
      <c r="GR10" s="784">
        <f t="shared" si="80"/>
        <v>39412233.404436372</v>
      </c>
      <c r="GS10" s="716"/>
      <c r="GV10" s="717">
        <f t="shared" si="81"/>
        <v>7</v>
      </c>
      <c r="GW10" s="731">
        <v>7</v>
      </c>
      <c r="GX10" s="732" t="s">
        <v>414</v>
      </c>
      <c r="GY10" s="758" t="s">
        <v>397</v>
      </c>
      <c r="GZ10" s="906">
        <f t="shared" si="82"/>
        <v>2839982.2586363037</v>
      </c>
      <c r="HA10" s="784">
        <f t="shared" si="83"/>
        <v>39412233.404436372</v>
      </c>
      <c r="HB10" s="922">
        <f t="shared" si="109"/>
        <v>7.2058390000000001</v>
      </c>
      <c r="HC10" s="942">
        <f t="shared" si="85"/>
        <v>2839982.085427904</v>
      </c>
      <c r="HD10" s="857">
        <v>-0.10420352779328823</v>
      </c>
      <c r="HE10" s="54"/>
      <c r="HH10" s="54"/>
      <c r="HI10" s="54"/>
      <c r="HJ10" s="54"/>
      <c r="HK10" s="54"/>
      <c r="HL10" s="54"/>
      <c r="HM10" s="54"/>
      <c r="HN10" s="54"/>
      <c r="HQ10" s="730">
        <v>7</v>
      </c>
      <c r="HR10" s="867">
        <v>7</v>
      </c>
      <c r="HS10" s="732" t="s">
        <v>414</v>
      </c>
      <c r="HT10" s="784">
        <f t="shared" si="86"/>
        <v>39412233.404436372</v>
      </c>
      <c r="HU10" s="917">
        <f t="shared" si="87"/>
        <v>7.2058390000000001</v>
      </c>
      <c r="HV10" s="868"/>
      <c r="HW10" s="765"/>
      <c r="HX10" s="868">
        <v>-1.6458860000000008</v>
      </c>
      <c r="HY10" s="766">
        <v>10</v>
      </c>
      <c r="IP10" s="730">
        <v>7</v>
      </c>
      <c r="IQ10" s="867">
        <v>7</v>
      </c>
      <c r="IR10" s="732" t="s">
        <v>414</v>
      </c>
      <c r="IS10" s="913">
        <f t="shared" si="106"/>
        <v>2839982.085427904</v>
      </c>
      <c r="IT10" s="915">
        <f t="shared" si="88"/>
        <v>39412233.404436372</v>
      </c>
      <c r="IU10" s="918">
        <f t="shared" si="89"/>
        <v>7.2058390000000001</v>
      </c>
      <c r="IV10" s="904">
        <f t="shared" si="110"/>
        <v>5794028.3512482205</v>
      </c>
      <c r="IW10" s="904">
        <f t="shared" si="91"/>
        <v>33618205.053188153</v>
      </c>
      <c r="IX10" s="913">
        <f t="shared" si="111"/>
        <v>86910.425268723309</v>
      </c>
      <c r="IY10" s="881">
        <f t="shared" si="93"/>
        <v>2753071.6601591809</v>
      </c>
      <c r="IZ10" s="928">
        <f t="shared" si="112"/>
        <v>6.9853226329703153</v>
      </c>
      <c r="JA10" s="928">
        <f t="shared" si="113"/>
        <v>8.4853226329703162</v>
      </c>
      <c r="JB10" s="913">
        <f t="shared" si="107"/>
        <v>2839982.085427904</v>
      </c>
      <c r="JC10" s="852">
        <v>0.22223282916511877</v>
      </c>
      <c r="JG10" s="730">
        <v>7</v>
      </c>
      <c r="JH10" s="867">
        <v>7</v>
      </c>
      <c r="JI10" s="732" t="s">
        <v>414</v>
      </c>
      <c r="JJ10" s="784">
        <f t="shared" si="96"/>
        <v>39412233.404436372</v>
      </c>
      <c r="JK10" s="917">
        <f t="shared" si="97"/>
        <v>6.9853226329703153</v>
      </c>
      <c r="JL10" s="868">
        <v>8.6649999999999991</v>
      </c>
      <c r="JM10" s="765"/>
      <c r="JN10" s="868"/>
      <c r="JO10" s="766">
        <v>10</v>
      </c>
      <c r="JT10" s="936">
        <v>13.512674926540257</v>
      </c>
      <c r="JU10" s="936">
        <f t="shared" si="64"/>
        <v>-4.8950706430058943E-2</v>
      </c>
      <c r="JV10" s="13">
        <v>26972258</v>
      </c>
      <c r="JW10" s="13">
        <f t="shared" si="65"/>
        <v>371038.29130582884</v>
      </c>
    </row>
    <row r="11" spans="1:294" x14ac:dyDescent="0.3">
      <c r="B11" s="338">
        <v>8</v>
      </c>
      <c r="C11" s="767" t="s">
        <v>250</v>
      </c>
      <c r="D11" s="906">
        <f>'ABDA 3 month Phase I'!MT13</f>
        <v>18998322.143907189</v>
      </c>
      <c r="E11" s="768">
        <v>0.16902044974442379</v>
      </c>
      <c r="F11" s="769">
        <v>0.87436389205081888</v>
      </c>
      <c r="J11" s="338">
        <v>8</v>
      </c>
      <c r="K11" s="759">
        <v>8</v>
      </c>
      <c r="L11" s="518" t="s">
        <v>415</v>
      </c>
      <c r="M11" s="904">
        <v>27343296.291305829</v>
      </c>
      <c r="N11" s="943">
        <f t="shared" si="66"/>
        <v>1.2472768543742359E-2</v>
      </c>
      <c r="O11" s="455">
        <v>362.05552889365669</v>
      </c>
      <c r="P11" s="948">
        <f t="shared" si="67"/>
        <v>75522.382919712647</v>
      </c>
      <c r="Q11" s="659">
        <f t="shared" si="68"/>
        <v>4.309738101258026E-2</v>
      </c>
      <c r="R11" s="322" t="s">
        <v>397</v>
      </c>
      <c r="V11" s="734">
        <f t="shared" si="98"/>
        <v>8</v>
      </c>
      <c r="W11" s="735">
        <f t="shared" si="0"/>
        <v>8</v>
      </c>
      <c r="X11" s="518" t="s">
        <v>415</v>
      </c>
      <c r="Y11" s="924">
        <f t="shared" si="69"/>
        <v>2824813.9019227987</v>
      </c>
      <c r="Z11" s="943">
        <f t="shared" si="70"/>
        <v>3.384997290041511E-2</v>
      </c>
      <c r="AD11" s="734">
        <v>8</v>
      </c>
      <c r="AE11" s="146">
        <v>8</v>
      </c>
      <c r="AF11" s="347" t="s">
        <v>415</v>
      </c>
      <c r="AG11" s="369">
        <v>9.2200000000000006</v>
      </c>
      <c r="AQ11" s="734">
        <f t="shared" si="71"/>
        <v>8</v>
      </c>
      <c r="AR11" s="787">
        <f t="shared" si="1"/>
        <v>8</v>
      </c>
      <c r="AS11" s="518" t="s">
        <v>415</v>
      </c>
      <c r="AT11" s="518">
        <f t="shared" si="2"/>
        <v>9.2200000000000006</v>
      </c>
      <c r="AU11" s="788">
        <f t="shared" si="72"/>
        <v>27343296.291305829</v>
      </c>
      <c r="AV11" s="788">
        <f t="shared" si="99"/>
        <v>70029.219946066602</v>
      </c>
      <c r="AW11" s="789">
        <f t="shared" si="3"/>
        <v>72900.724183992992</v>
      </c>
      <c r="AX11" s="790">
        <f t="shared" si="4"/>
        <v>18.238489259491555</v>
      </c>
      <c r="AY11" s="358">
        <f t="shared" si="108"/>
        <v>1329599.0750389125</v>
      </c>
      <c r="AZ11" s="35">
        <f t="shared" si="73"/>
        <v>3.7025608530338691E-2</v>
      </c>
      <c r="BA11" s="55">
        <f t="shared" si="5"/>
        <v>4.8626139999999998</v>
      </c>
      <c r="BL11" s="338">
        <f t="shared" si="100"/>
        <v>8</v>
      </c>
      <c r="BM11" s="322">
        <f t="shared" si="6"/>
        <v>8</v>
      </c>
      <c r="BN11" s="518" t="s">
        <v>415</v>
      </c>
      <c r="BO11" s="659">
        <f t="shared" si="7"/>
        <v>3.7025608530338691E-2</v>
      </c>
      <c r="BP11" s="358">
        <f t="shared" si="74"/>
        <v>290858.33078923449</v>
      </c>
      <c r="BQ11" s="659">
        <f t="shared" si="8"/>
        <v>1.2472768543742359E-2</v>
      </c>
      <c r="BR11" s="358">
        <f t="shared" si="75"/>
        <v>97981.067238388714</v>
      </c>
      <c r="BS11" s="809">
        <f t="shared" si="9"/>
        <v>388839.39802762319</v>
      </c>
      <c r="BT11" s="810">
        <f t="shared" si="10"/>
        <v>1.4220649999999999</v>
      </c>
      <c r="BW11" s="1"/>
      <c r="BX11" s="10"/>
      <c r="BY11" s="10"/>
      <c r="BZ11" s="10"/>
      <c r="CA11" s="10"/>
      <c r="CB11" s="10"/>
      <c r="CC11" s="10"/>
      <c r="CD11" s="10"/>
      <c r="CE11" s="10"/>
      <c r="CI11" s="734">
        <f t="shared" si="101"/>
        <v>8</v>
      </c>
      <c r="CJ11" s="146">
        <f t="shared" si="12"/>
        <v>8</v>
      </c>
      <c r="CK11" s="518" t="s">
        <v>415</v>
      </c>
      <c r="CL11" s="344">
        <f t="shared" si="13"/>
        <v>1.2472768543742359E-2</v>
      </c>
      <c r="CM11" s="20">
        <f t="shared" si="14"/>
        <v>66782.197802307041</v>
      </c>
      <c r="CN11" s="344">
        <f t="shared" si="15"/>
        <v>4.309738101258026E-2</v>
      </c>
      <c r="CO11" s="20">
        <f t="shared" si="16"/>
        <v>749943.04066486366</v>
      </c>
      <c r="CP11" s="20">
        <f t="shared" si="17"/>
        <v>816725.23846717074</v>
      </c>
      <c r="CQ11" s="344">
        <f t="shared" si="18"/>
        <v>3.5891541561761699E-2</v>
      </c>
      <c r="CR11" s="342">
        <f t="shared" si="19"/>
        <v>2.9869300000000001</v>
      </c>
      <c r="DC11" s="2" t="s">
        <v>453</v>
      </c>
      <c r="DD11" s="5">
        <v>0.70758002106159879</v>
      </c>
      <c r="DE11" s="1"/>
      <c r="DH11" s="734">
        <v>8</v>
      </c>
      <c r="DI11" s="745">
        <f t="shared" si="20"/>
        <v>8</v>
      </c>
      <c r="DJ11" s="518" t="s">
        <v>415</v>
      </c>
      <c r="DK11" s="344">
        <f t="shared" si="21"/>
        <v>3.5891541561761699E-2</v>
      </c>
      <c r="DL11" s="20">
        <f t="shared" si="77"/>
        <v>11278.36602344219</v>
      </c>
      <c r="DM11" s="344">
        <f t="shared" si="22"/>
        <v>4.309738101258026E-2</v>
      </c>
      <c r="DN11" s="20">
        <f t="shared" si="23"/>
        <v>83812.487784293131</v>
      </c>
      <c r="DO11" s="344">
        <f t="shared" si="24"/>
        <v>1.2472768543742359E-2</v>
      </c>
      <c r="DP11" s="20">
        <f t="shared" si="25"/>
        <v>40385.223631936584</v>
      </c>
      <c r="DQ11" s="20">
        <f t="shared" si="78"/>
        <v>135476.07743967191</v>
      </c>
      <c r="DR11" s="344">
        <f t="shared" si="26"/>
        <v>2.464622036364069E-2</v>
      </c>
      <c r="DS11" s="342">
        <f t="shared" si="27"/>
        <v>0.49546400000000002</v>
      </c>
      <c r="DW11" s="734">
        <f t="shared" si="102"/>
        <v>8</v>
      </c>
      <c r="DX11" s="745">
        <f t="shared" si="28"/>
        <v>8</v>
      </c>
      <c r="DY11" s="518" t="s">
        <v>415</v>
      </c>
      <c r="DZ11" s="344">
        <f t="shared" si="29"/>
        <v>4.309738101258026E-2</v>
      </c>
      <c r="EA11" s="20">
        <f t="shared" si="30"/>
        <v>154174.11294942047</v>
      </c>
      <c r="EB11" s="342">
        <f t="shared" si="31"/>
        <v>0.56384599999999996</v>
      </c>
      <c r="EH11" s="4"/>
      <c r="EI11" s="4"/>
      <c r="EJ11" s="4"/>
      <c r="EN11" s="734">
        <f t="shared" si="103"/>
        <v>8</v>
      </c>
      <c r="EO11" s="745">
        <f t="shared" si="32"/>
        <v>8</v>
      </c>
      <c r="EP11" s="518" t="s">
        <v>415</v>
      </c>
      <c r="EQ11" s="344">
        <f t="shared" si="33"/>
        <v>3.384997290041511E-2</v>
      </c>
      <c r="ER11" s="20">
        <f t="shared" si="34"/>
        <v>240987.21333655046</v>
      </c>
      <c r="ES11" s="344">
        <f t="shared" si="35"/>
        <v>3.5891541561761699E-2</v>
      </c>
      <c r="ET11" s="20">
        <f t="shared" si="36"/>
        <v>34451.378418611304</v>
      </c>
      <c r="EU11" s="344">
        <f t="shared" si="37"/>
        <v>1.2472768543742359E-2</v>
      </c>
      <c r="EV11" s="20">
        <f t="shared" si="38"/>
        <v>32075.722761244284</v>
      </c>
      <c r="EW11" s="20">
        <f t="shared" si="39"/>
        <v>307514.31451640604</v>
      </c>
      <c r="EX11" s="344">
        <f t="shared" si="40"/>
        <v>2.88723923231834E-2</v>
      </c>
      <c r="EY11" s="342">
        <f t="shared" si="41"/>
        <v>1.1246419999999999</v>
      </c>
      <c r="FI11" s="734">
        <f t="shared" si="104"/>
        <v>8</v>
      </c>
      <c r="FJ11" s="735">
        <f t="shared" si="42"/>
        <v>8</v>
      </c>
      <c r="FK11" s="518" t="s">
        <v>415</v>
      </c>
      <c r="FL11" s="344">
        <f t="shared" si="43"/>
        <v>3.384997290041511E-2</v>
      </c>
      <c r="FM11" s="20">
        <f t="shared" si="44"/>
        <v>636163.81732886157</v>
      </c>
      <c r="FN11" s="342">
        <f t="shared" si="45"/>
        <v>2.326581</v>
      </c>
      <c r="FR11" s="734">
        <f t="shared" si="105"/>
        <v>8</v>
      </c>
      <c r="FS11" s="735">
        <v>8</v>
      </c>
      <c r="FT11" s="518" t="s">
        <v>415</v>
      </c>
      <c r="FU11" s="20">
        <f t="shared" si="46"/>
        <v>1329599.0750389125</v>
      </c>
      <c r="FV11" s="20">
        <f t="shared" si="47"/>
        <v>388839.39802762319</v>
      </c>
      <c r="FW11" s="20">
        <f t="shared" si="48"/>
        <v>816725.23846717074</v>
      </c>
      <c r="FX11" s="20">
        <f t="shared" si="49"/>
        <v>135476.07743967191</v>
      </c>
      <c r="FY11" s="20">
        <f t="shared" si="50"/>
        <v>154174.11294942047</v>
      </c>
      <c r="FZ11" s="20">
        <f t="shared" si="51"/>
        <v>307514.31451640604</v>
      </c>
      <c r="GA11" s="20">
        <f t="shared" si="52"/>
        <v>636163.81732886157</v>
      </c>
      <c r="GB11" s="20">
        <f t="shared" si="53"/>
        <v>3768492.0337680662</v>
      </c>
      <c r="GC11" s="414">
        <f t="shared" si="54"/>
        <v>13.782142</v>
      </c>
      <c r="GG11" s="734">
        <f t="shared" si="79"/>
        <v>8</v>
      </c>
      <c r="GH11" s="735">
        <f t="shared" si="55"/>
        <v>8</v>
      </c>
      <c r="GI11" s="518" t="s">
        <v>415</v>
      </c>
      <c r="GJ11" s="342">
        <f t="shared" si="56"/>
        <v>4.8626139999999998</v>
      </c>
      <c r="GK11" s="342">
        <f t="shared" si="57"/>
        <v>1.4220649999999999</v>
      </c>
      <c r="GL11" s="342">
        <f t="shared" si="58"/>
        <v>2.9869300000000001</v>
      </c>
      <c r="GM11" s="342">
        <f t="shared" si="59"/>
        <v>0.49546400000000002</v>
      </c>
      <c r="GN11" s="342">
        <f t="shared" si="60"/>
        <v>0.56384599999999996</v>
      </c>
      <c r="GO11" s="342">
        <f t="shared" si="61"/>
        <v>1.1246419999999999</v>
      </c>
      <c r="GP11" s="342">
        <f t="shared" si="62"/>
        <v>2.326581</v>
      </c>
      <c r="GQ11" s="342">
        <f t="shared" si="63"/>
        <v>13.782142</v>
      </c>
      <c r="GR11" s="788">
        <f t="shared" si="80"/>
        <v>27343296.291305829</v>
      </c>
      <c r="GS11" s="716"/>
      <c r="GV11" s="718">
        <f t="shared" si="81"/>
        <v>8</v>
      </c>
      <c r="GW11" s="735">
        <v>8</v>
      </c>
      <c r="GX11" s="518" t="s">
        <v>415</v>
      </c>
      <c r="GY11" s="322" t="s">
        <v>397</v>
      </c>
      <c r="GZ11" s="924">
        <f t="shared" si="82"/>
        <v>3768492.0337680662</v>
      </c>
      <c r="HA11" s="788">
        <f t="shared" si="83"/>
        <v>27343296.291305829</v>
      </c>
      <c r="HB11" s="922">
        <f t="shared" si="109"/>
        <v>13.782142</v>
      </c>
      <c r="HC11" s="942">
        <f t="shared" si="85"/>
        <v>3768491.922348503</v>
      </c>
      <c r="HD11" s="858">
        <v>7.107064500451088E-2</v>
      </c>
      <c r="HE11" s="54"/>
      <c r="HH11" s="54"/>
      <c r="HI11" s="54"/>
      <c r="HJ11" s="54"/>
      <c r="HK11" s="54"/>
      <c r="HL11" s="54"/>
      <c r="HM11" s="54"/>
      <c r="HN11" s="54"/>
      <c r="HQ11" s="734">
        <v>8</v>
      </c>
      <c r="HR11" s="869">
        <v>8</v>
      </c>
      <c r="HS11" s="518" t="s">
        <v>415</v>
      </c>
      <c r="HT11" s="788">
        <f t="shared" si="86"/>
        <v>27343296.291305829</v>
      </c>
      <c r="HU11" s="917">
        <f t="shared" si="87"/>
        <v>13.782142</v>
      </c>
      <c r="HV11" s="870"/>
      <c r="HW11" s="768"/>
      <c r="HX11" s="870">
        <v>-2.8347379999999998</v>
      </c>
      <c r="HY11" s="769">
        <v>25</v>
      </c>
      <c r="IP11" s="734">
        <v>8</v>
      </c>
      <c r="IQ11" s="869">
        <v>8</v>
      </c>
      <c r="IR11" s="518" t="s">
        <v>415</v>
      </c>
      <c r="IS11" s="913">
        <f t="shared" si="106"/>
        <v>3768491.922348503</v>
      </c>
      <c r="IT11" s="915">
        <f t="shared" si="88"/>
        <v>27343296.291305829</v>
      </c>
      <c r="IU11" s="919">
        <f t="shared" si="89"/>
        <v>13.782142</v>
      </c>
      <c r="IV11" s="904">
        <f t="shared" si="110"/>
        <v>4019762.9071833603</v>
      </c>
      <c r="IW11" s="904">
        <f t="shared" si="91"/>
        <v>23323533.384122469</v>
      </c>
      <c r="IX11" s="913">
        <f t="shared" si="111"/>
        <v>60296.4436077504</v>
      </c>
      <c r="IY11" s="882">
        <f t="shared" si="93"/>
        <v>3708195.4787407527</v>
      </c>
      <c r="IZ11" s="928">
        <f t="shared" si="112"/>
        <v>13.561625632970316</v>
      </c>
      <c r="JA11" s="928">
        <f t="shared" si="113"/>
        <v>15.061625632970316</v>
      </c>
      <c r="JB11" s="913">
        <f t="shared" si="107"/>
        <v>3768491.9223485035</v>
      </c>
      <c r="JC11" s="883">
        <v>0.22223335000653854</v>
      </c>
      <c r="JG11" s="734">
        <v>8</v>
      </c>
      <c r="JH11" s="869">
        <v>8</v>
      </c>
      <c r="JI11" s="518" t="s">
        <v>415</v>
      </c>
      <c r="JJ11" s="788">
        <f t="shared" si="96"/>
        <v>27343296.291305829</v>
      </c>
      <c r="JK11" s="917">
        <f t="shared" si="97"/>
        <v>13.561625632970316</v>
      </c>
      <c r="JL11" s="870">
        <v>16.465</v>
      </c>
      <c r="JM11" s="768"/>
      <c r="JN11" s="870"/>
      <c r="JO11" s="769">
        <v>25</v>
      </c>
      <c r="JT11" s="936">
        <v>7.8380709265402579</v>
      </c>
      <c r="JU11" s="936">
        <f t="shared" si="64"/>
        <v>-2.6002706430057643E-2</v>
      </c>
      <c r="JV11" s="13">
        <v>123957514</v>
      </c>
      <c r="JW11" s="13">
        <f t="shared" si="65"/>
        <v>-768402.44118867815</v>
      </c>
    </row>
    <row r="12" spans="1:294" x14ac:dyDescent="0.3">
      <c r="B12" s="756">
        <v>9</v>
      </c>
      <c r="C12" s="764" t="s">
        <v>401</v>
      </c>
      <c r="D12" s="379">
        <v>-204693.58767693696</v>
      </c>
      <c r="E12" s="765">
        <v>-1.8210767238753768E-3</v>
      </c>
      <c r="F12" s="766">
        <v>-9.4206572898044259E-3</v>
      </c>
      <c r="J12" s="756">
        <v>9</v>
      </c>
      <c r="K12" s="757">
        <v>9</v>
      </c>
      <c r="L12" s="732" t="s">
        <v>416</v>
      </c>
      <c r="M12" s="904">
        <v>123189111.55881132</v>
      </c>
      <c r="N12" s="944">
        <f t="shared" si="66"/>
        <v>5.6193271623614163E-2</v>
      </c>
      <c r="O12" s="753">
        <v>872.65582457349649</v>
      </c>
      <c r="P12" s="948">
        <f t="shared" si="67"/>
        <v>141165.74723949045</v>
      </c>
      <c r="Q12" s="733">
        <f t="shared" si="68"/>
        <v>8.0557230313742179E-2</v>
      </c>
      <c r="R12" s="758" t="s">
        <v>397</v>
      </c>
      <c r="V12" s="730">
        <f t="shared" si="98"/>
        <v>9</v>
      </c>
      <c r="W12" s="731">
        <f t="shared" si="0"/>
        <v>9</v>
      </c>
      <c r="X12" s="732" t="s">
        <v>416</v>
      </c>
      <c r="Y12" s="924">
        <f t="shared" si="69"/>
        <v>7434475.3902484765</v>
      </c>
      <c r="Z12" s="944">
        <f t="shared" si="70"/>
        <v>8.9087918435057201E-2</v>
      </c>
      <c r="AD12" s="730">
        <v>9</v>
      </c>
      <c r="AE12" s="746">
        <v>9</v>
      </c>
      <c r="AF12" s="747" t="s">
        <v>416</v>
      </c>
      <c r="AG12" s="748">
        <v>5.86</v>
      </c>
      <c r="AQ12" s="730">
        <f t="shared" si="71"/>
        <v>9</v>
      </c>
      <c r="AR12" s="783">
        <f t="shared" si="1"/>
        <v>9</v>
      </c>
      <c r="AS12" s="732" t="s">
        <v>416</v>
      </c>
      <c r="AT12" s="732">
        <f t="shared" si="2"/>
        <v>5.86</v>
      </c>
      <c r="AU12" s="784">
        <f t="shared" si="72"/>
        <v>123189111.55881132</v>
      </c>
      <c r="AV12" s="784">
        <f t="shared" si="99"/>
        <v>200524.49825962065</v>
      </c>
      <c r="AW12" s="785">
        <f>AV12*$AM$5/$AV$28</f>
        <v>208746.87953138156</v>
      </c>
      <c r="AX12" s="786">
        <f t="shared" si="4"/>
        <v>18.238489259491555</v>
      </c>
      <c r="AY12" s="379">
        <f t="shared" si="108"/>
        <v>3807227.7202854804</v>
      </c>
      <c r="AZ12" s="51">
        <f t="shared" si="73"/>
        <v>0.10602062366282744</v>
      </c>
      <c r="BA12" s="53">
        <f t="shared" si="5"/>
        <v>3.0905550000000002</v>
      </c>
      <c r="BL12" s="756">
        <f t="shared" si="100"/>
        <v>9</v>
      </c>
      <c r="BM12" s="758">
        <f t="shared" si="6"/>
        <v>9</v>
      </c>
      <c r="BN12" s="732" t="s">
        <v>416</v>
      </c>
      <c r="BO12" s="733">
        <f t="shared" si="7"/>
        <v>0.10602062366282744</v>
      </c>
      <c r="BP12" s="379">
        <f t="shared" si="74"/>
        <v>832855.49790588487</v>
      </c>
      <c r="BQ12" s="733">
        <f t="shared" si="8"/>
        <v>5.6193271623614163E-2</v>
      </c>
      <c r="BR12" s="379">
        <f t="shared" si="75"/>
        <v>441431.80449385487</v>
      </c>
      <c r="BS12" s="807">
        <f t="shared" si="9"/>
        <v>1274287.3023997396</v>
      </c>
      <c r="BT12" s="808">
        <f t="shared" si="10"/>
        <v>1.034416</v>
      </c>
      <c r="BW12" s="1"/>
      <c r="BX12" s="10"/>
      <c r="BY12" s="10"/>
      <c r="BZ12" s="10"/>
      <c r="CA12" s="10"/>
      <c r="CB12" s="10"/>
      <c r="CC12" s="10"/>
      <c r="CD12" s="10"/>
      <c r="CE12" s="10"/>
      <c r="CI12" s="730">
        <f t="shared" si="101"/>
        <v>9</v>
      </c>
      <c r="CJ12" s="746">
        <f t="shared" si="12"/>
        <v>9</v>
      </c>
      <c r="CK12" s="732" t="s">
        <v>416</v>
      </c>
      <c r="CL12" s="733">
        <f t="shared" si="13"/>
        <v>5.6193271623614163E-2</v>
      </c>
      <c r="CM12" s="379">
        <f t="shared" si="14"/>
        <v>300872.26966219296</v>
      </c>
      <c r="CN12" s="733">
        <f t="shared" si="15"/>
        <v>8.0557230313742179E-2</v>
      </c>
      <c r="CO12" s="379">
        <f t="shared" si="16"/>
        <v>1401786.6707815193</v>
      </c>
      <c r="CP12" s="379">
        <f t="shared" si="17"/>
        <v>1702658.9404437123</v>
      </c>
      <c r="CQ12" s="733">
        <f t="shared" si="18"/>
        <v>7.4824495740004077E-2</v>
      </c>
      <c r="CR12" s="808">
        <f t="shared" si="19"/>
        <v>1.3821509999999999</v>
      </c>
      <c r="DD12" s="5">
        <v>5.716652409656231E-2</v>
      </c>
      <c r="DE12" s="1"/>
      <c r="DH12" s="730">
        <v>9</v>
      </c>
      <c r="DI12" s="840">
        <f t="shared" si="20"/>
        <v>9</v>
      </c>
      <c r="DJ12" s="732" t="s">
        <v>416</v>
      </c>
      <c r="DK12" s="733">
        <f t="shared" si="21"/>
        <v>7.4824495740004077E-2</v>
      </c>
      <c r="DL12" s="379">
        <f t="shared" si="77"/>
        <v>23512.449277863641</v>
      </c>
      <c r="DM12" s="733">
        <f t="shared" si="22"/>
        <v>8.0557230313742179E-2</v>
      </c>
      <c r="DN12" s="379">
        <f t="shared" si="23"/>
        <v>156661.53541061259</v>
      </c>
      <c r="DO12" s="733">
        <f t="shared" si="24"/>
        <v>5.6193271623614163E-2</v>
      </c>
      <c r="DP12" s="379">
        <f t="shared" si="25"/>
        <v>181946.60096281275</v>
      </c>
      <c r="DQ12" s="379">
        <f t="shared" si="78"/>
        <v>362120.58565128897</v>
      </c>
      <c r="DR12" s="733">
        <f t="shared" si="26"/>
        <v>6.587807914756455E-2</v>
      </c>
      <c r="DS12" s="808">
        <f t="shared" si="27"/>
        <v>0.29395500000000002</v>
      </c>
      <c r="DW12" s="730">
        <f t="shared" si="102"/>
        <v>9</v>
      </c>
      <c r="DX12" s="840">
        <f t="shared" si="28"/>
        <v>9</v>
      </c>
      <c r="DY12" s="732" t="s">
        <v>416</v>
      </c>
      <c r="DZ12" s="733">
        <f t="shared" si="29"/>
        <v>8.0557230313742179E-2</v>
      </c>
      <c r="EA12" s="379">
        <f t="shared" si="30"/>
        <v>288180.84146825474</v>
      </c>
      <c r="EB12" s="808">
        <f t="shared" si="31"/>
        <v>0.233934</v>
      </c>
      <c r="EN12" s="730">
        <f t="shared" si="103"/>
        <v>9</v>
      </c>
      <c r="EO12" s="840">
        <f t="shared" si="32"/>
        <v>9</v>
      </c>
      <c r="EP12" s="732" t="s">
        <v>416</v>
      </c>
      <c r="EQ12" s="733">
        <f t="shared" si="33"/>
        <v>8.9087918435057201E-2</v>
      </c>
      <c r="ER12" s="379">
        <f t="shared" si="34"/>
        <v>634241.25238679454</v>
      </c>
      <c r="ES12" s="733">
        <f t="shared" si="35"/>
        <v>7.4824495740004077E-2</v>
      </c>
      <c r="ET12" s="379">
        <f t="shared" si="36"/>
        <v>71822.131498163508</v>
      </c>
      <c r="EU12" s="733">
        <f t="shared" si="37"/>
        <v>5.6193271623614163E-2</v>
      </c>
      <c r="EV12" s="379">
        <f t="shared" si="38"/>
        <v>144510.00155459752</v>
      </c>
      <c r="EW12" s="379">
        <f t="shared" si="39"/>
        <v>850573.38543955551</v>
      </c>
      <c r="EX12" s="733">
        <f t="shared" si="40"/>
        <v>7.9859984803273124E-2</v>
      </c>
      <c r="EY12" s="808">
        <f t="shared" si="41"/>
        <v>0.69046099999999999</v>
      </c>
      <c r="FI12" s="730">
        <f t="shared" si="104"/>
        <v>9</v>
      </c>
      <c r="FJ12" s="731">
        <f t="shared" si="42"/>
        <v>9</v>
      </c>
      <c r="FK12" s="732" t="s">
        <v>416</v>
      </c>
      <c r="FL12" s="733">
        <f t="shared" si="43"/>
        <v>8.9087918435057201E-2</v>
      </c>
      <c r="FM12" s="379">
        <f t="shared" si="44"/>
        <v>1674285.2479162023</v>
      </c>
      <c r="FN12" s="808">
        <f t="shared" si="45"/>
        <v>1.359118</v>
      </c>
      <c r="FR12" s="730">
        <f t="shared" si="105"/>
        <v>9</v>
      </c>
      <c r="FS12" s="731">
        <v>9</v>
      </c>
      <c r="FT12" s="732" t="s">
        <v>416</v>
      </c>
      <c r="FU12" s="379">
        <f t="shared" si="46"/>
        <v>3807227.7202854804</v>
      </c>
      <c r="FV12" s="379">
        <f t="shared" si="47"/>
        <v>1274287.3023997396</v>
      </c>
      <c r="FW12" s="379">
        <f t="shared" si="48"/>
        <v>1702658.9404437123</v>
      </c>
      <c r="FX12" s="379">
        <f t="shared" si="49"/>
        <v>362120.58565128897</v>
      </c>
      <c r="FY12" s="379">
        <f t="shared" si="50"/>
        <v>288180.84146825474</v>
      </c>
      <c r="FZ12" s="379">
        <f t="shared" si="51"/>
        <v>850573.38543955551</v>
      </c>
      <c r="GA12" s="379">
        <f t="shared" si="52"/>
        <v>1674285.2479162023</v>
      </c>
      <c r="GB12" s="379">
        <f t="shared" si="53"/>
        <v>9959334.0236042347</v>
      </c>
      <c r="GC12" s="852">
        <f t="shared" si="54"/>
        <v>8.0845900000000004</v>
      </c>
      <c r="GG12" s="730">
        <f t="shared" si="79"/>
        <v>9</v>
      </c>
      <c r="GH12" s="731">
        <f t="shared" si="55"/>
        <v>9</v>
      </c>
      <c r="GI12" s="732" t="s">
        <v>416</v>
      </c>
      <c r="GJ12" s="808">
        <f t="shared" si="56"/>
        <v>3.0905550000000002</v>
      </c>
      <c r="GK12" s="808">
        <f t="shared" si="57"/>
        <v>1.034416</v>
      </c>
      <c r="GL12" s="808">
        <f t="shared" si="58"/>
        <v>1.3821509999999999</v>
      </c>
      <c r="GM12" s="808">
        <f t="shared" si="59"/>
        <v>0.29395500000000002</v>
      </c>
      <c r="GN12" s="808">
        <f t="shared" si="60"/>
        <v>0.233934</v>
      </c>
      <c r="GO12" s="808">
        <f t="shared" si="61"/>
        <v>0.69046099999999999</v>
      </c>
      <c r="GP12" s="808">
        <f t="shared" si="62"/>
        <v>1.359118</v>
      </c>
      <c r="GQ12" s="808">
        <f t="shared" si="63"/>
        <v>8.0845900000000004</v>
      </c>
      <c r="GR12" s="784">
        <f t="shared" si="80"/>
        <v>123189111.55881132</v>
      </c>
      <c r="GS12" s="716"/>
      <c r="GV12" s="717">
        <f t="shared" si="81"/>
        <v>9</v>
      </c>
      <c r="GW12" s="731">
        <v>9</v>
      </c>
      <c r="GX12" s="732" t="s">
        <v>416</v>
      </c>
      <c r="GY12" s="758" t="s">
        <v>397</v>
      </c>
      <c r="GZ12" s="906">
        <f t="shared" si="82"/>
        <v>9959334.0236042347</v>
      </c>
      <c r="HA12" s="784">
        <f t="shared" si="83"/>
        <v>123189111.55881132</v>
      </c>
      <c r="HB12" s="922">
        <f t="shared" si="109"/>
        <v>8.0845900000000004</v>
      </c>
      <c r="HC12" s="942">
        <f t="shared" si="85"/>
        <v>9959334.5941725057</v>
      </c>
      <c r="HD12" s="857">
        <v>-0.42028257809579372</v>
      </c>
      <c r="HE12" s="54"/>
      <c r="HH12" s="54"/>
      <c r="HI12" s="54"/>
      <c r="HJ12" s="54"/>
      <c r="HK12" s="54"/>
      <c r="HL12" s="54"/>
      <c r="HM12" s="54"/>
      <c r="HN12" s="54"/>
      <c r="HQ12" s="730">
        <v>9</v>
      </c>
      <c r="HR12" s="867">
        <v>9</v>
      </c>
      <c r="HS12" s="732" t="s">
        <v>416</v>
      </c>
      <c r="HT12" s="784">
        <f t="shared" si="86"/>
        <v>123189111.55881132</v>
      </c>
      <c r="HU12" s="917">
        <f t="shared" si="87"/>
        <v>8.0845900000000004</v>
      </c>
      <c r="HV12" s="868"/>
      <c r="HW12" s="765"/>
      <c r="HX12" s="868">
        <v>-1.9628369999999986</v>
      </c>
      <c r="HY12" s="766">
        <v>10</v>
      </c>
      <c r="IP12" s="730">
        <v>9</v>
      </c>
      <c r="IQ12" s="867">
        <v>9</v>
      </c>
      <c r="IR12" s="732" t="s">
        <v>416</v>
      </c>
      <c r="IS12" s="913">
        <f t="shared" si="106"/>
        <v>9959334.5941725057</v>
      </c>
      <c r="IT12" s="915">
        <f t="shared" si="88"/>
        <v>123189111.55881132</v>
      </c>
      <c r="IU12" s="918">
        <f t="shared" si="89"/>
        <v>8.0845900000000004</v>
      </c>
      <c r="IV12" s="904">
        <f t="shared" si="110"/>
        <v>18110143.559042491</v>
      </c>
      <c r="IW12" s="904">
        <f t="shared" si="91"/>
        <v>105078967.99976882</v>
      </c>
      <c r="IX12" s="913">
        <f t="shared" si="111"/>
        <v>271652.15338563733</v>
      </c>
      <c r="IY12" s="881">
        <f t="shared" si="93"/>
        <v>9687682.4407868683</v>
      </c>
      <c r="IZ12" s="928">
        <f t="shared" si="112"/>
        <v>7.8640736329703156</v>
      </c>
      <c r="JA12" s="928">
        <f t="shared" si="113"/>
        <v>9.3640736329703156</v>
      </c>
      <c r="JB12" s="913">
        <f t="shared" si="107"/>
        <v>9959334.5941725057</v>
      </c>
      <c r="JC12" s="852">
        <v>0.22223273298532753</v>
      </c>
      <c r="JG12" s="730">
        <v>9</v>
      </c>
      <c r="JH12" s="867">
        <v>9</v>
      </c>
      <c r="JI12" s="732" t="s">
        <v>416</v>
      </c>
      <c r="JJ12" s="784">
        <f t="shared" si="96"/>
        <v>123189111.55881132</v>
      </c>
      <c r="JK12" s="917">
        <f t="shared" si="97"/>
        <v>7.8640736329703156</v>
      </c>
      <c r="JL12" s="868">
        <v>9.8640000000000008</v>
      </c>
      <c r="JM12" s="765"/>
      <c r="JN12" s="868"/>
      <c r="JO12" s="766">
        <v>10</v>
      </c>
      <c r="JT12" s="936">
        <v>15.840565926540259</v>
      </c>
      <c r="JU12" s="936">
        <f t="shared" si="64"/>
        <v>-5.4666706430056777E-2</v>
      </c>
      <c r="JV12" s="13">
        <v>5199119</v>
      </c>
      <c r="JW12" s="13">
        <f t="shared" si="65"/>
        <v>-85771.867323913611</v>
      </c>
    </row>
    <row r="13" spans="1:294" x14ac:dyDescent="0.3">
      <c r="B13" s="771">
        <v>10</v>
      </c>
      <c r="C13" s="772" t="s">
        <v>299</v>
      </c>
      <c r="D13" s="907">
        <f>'ABDA 3 month Phase I'!MZ25</f>
        <v>112894317.18039167</v>
      </c>
      <c r="E13" s="773">
        <v>1</v>
      </c>
      <c r="F13" s="774">
        <v>5.1731248696411978</v>
      </c>
      <c r="J13" s="338">
        <v>10</v>
      </c>
      <c r="K13" s="759">
        <v>10</v>
      </c>
      <c r="L13" s="518" t="s">
        <v>417</v>
      </c>
      <c r="M13" s="904">
        <v>5113347.1326760864</v>
      </c>
      <c r="N13" s="943">
        <f t="shared" si="66"/>
        <v>2.332476472120021E-3</v>
      </c>
      <c r="O13" s="455">
        <v>354.12272108843536</v>
      </c>
      <c r="P13" s="948">
        <f t="shared" si="67"/>
        <v>14439.47769564079</v>
      </c>
      <c r="Q13" s="659">
        <f t="shared" si="68"/>
        <v>8.2399898919139312E-3</v>
      </c>
      <c r="R13" s="322" t="s">
        <v>397</v>
      </c>
      <c r="V13" s="734">
        <f t="shared" si="98"/>
        <v>10</v>
      </c>
      <c r="W13" s="735">
        <f t="shared" si="0"/>
        <v>10</v>
      </c>
      <c r="X13" s="518" t="s">
        <v>417</v>
      </c>
      <c r="Y13" s="924">
        <f t="shared" si="69"/>
        <v>619206.8440530895</v>
      </c>
      <c r="Z13" s="943">
        <f t="shared" si="70"/>
        <v>7.420005571581712E-3</v>
      </c>
      <c r="AD13" s="734">
        <v>10</v>
      </c>
      <c r="AE13" s="146">
        <v>10</v>
      </c>
      <c r="AF13" s="347" t="s">
        <v>417</v>
      </c>
      <c r="AG13" s="369">
        <v>11.86</v>
      </c>
      <c r="AQ13" s="734">
        <f t="shared" si="71"/>
        <v>10</v>
      </c>
      <c r="AR13" s="787">
        <f t="shared" si="1"/>
        <v>10</v>
      </c>
      <c r="AS13" s="518" t="s">
        <v>417</v>
      </c>
      <c r="AT13" s="518">
        <f t="shared" si="2"/>
        <v>11.86</v>
      </c>
      <c r="AU13" s="788">
        <f t="shared" si="72"/>
        <v>5113347.1326760864</v>
      </c>
      <c r="AV13" s="788">
        <f t="shared" si="99"/>
        <v>16845.63805376066</v>
      </c>
      <c r="AW13" s="789">
        <f t="shared" si="3"/>
        <v>17536.382875696447</v>
      </c>
      <c r="AX13" s="790">
        <f t="shared" si="4"/>
        <v>18.238489259491555</v>
      </c>
      <c r="AY13" s="358">
        <f t="shared" si="108"/>
        <v>319837.13072872127</v>
      </c>
      <c r="AZ13" s="35">
        <f t="shared" si="73"/>
        <v>8.9065678655664039E-3</v>
      </c>
      <c r="BA13" s="55">
        <f t="shared" si="5"/>
        <v>6.2549469999999996</v>
      </c>
      <c r="BL13" s="338">
        <f t="shared" si="100"/>
        <v>10</v>
      </c>
      <c r="BM13" s="322">
        <f t="shared" si="6"/>
        <v>10</v>
      </c>
      <c r="BN13" s="518" t="s">
        <v>417</v>
      </c>
      <c r="BO13" s="659">
        <f t="shared" si="7"/>
        <v>8.9065678655664039E-3</v>
      </c>
      <c r="BP13" s="358">
        <f t="shared" si="74"/>
        <v>69966.425003305209</v>
      </c>
      <c r="BQ13" s="659">
        <f t="shared" si="8"/>
        <v>2.332476472120021E-3</v>
      </c>
      <c r="BR13" s="358">
        <f t="shared" si="75"/>
        <v>18322.999680885623</v>
      </c>
      <c r="BS13" s="809">
        <f t="shared" si="9"/>
        <v>88289.424684190832</v>
      </c>
      <c r="BT13" s="810">
        <f t="shared" si="10"/>
        <v>1.7266459999999999</v>
      </c>
      <c r="BW13" s="1"/>
      <c r="BX13" s="10"/>
      <c r="BY13" s="10"/>
      <c r="BZ13" s="10"/>
      <c r="CA13" s="10"/>
      <c r="CB13" s="10"/>
      <c r="CC13" s="10"/>
      <c r="CD13" s="10"/>
      <c r="CE13" s="10"/>
      <c r="CI13" s="734">
        <f t="shared" si="101"/>
        <v>10</v>
      </c>
      <c r="CJ13" s="146">
        <f t="shared" si="12"/>
        <v>10</v>
      </c>
      <c r="CK13" s="518" t="s">
        <v>417</v>
      </c>
      <c r="CL13" s="344">
        <f t="shared" si="13"/>
        <v>2.332476472120021E-3</v>
      </c>
      <c r="CM13" s="20">
        <f t="shared" si="14"/>
        <v>12488.639116813883</v>
      </c>
      <c r="CN13" s="344">
        <f t="shared" si="15"/>
        <v>8.2399898919139312E-3</v>
      </c>
      <c r="CO13" s="20">
        <f t="shared" si="16"/>
        <v>143385.11829259075</v>
      </c>
      <c r="CP13" s="20">
        <f t="shared" si="17"/>
        <v>155873.75740940464</v>
      </c>
      <c r="CQ13" s="344">
        <f t="shared" si="18"/>
        <v>6.8499774207387695E-3</v>
      </c>
      <c r="CR13" s="342">
        <f t="shared" si="19"/>
        <v>3.0483699999999998</v>
      </c>
      <c r="DD13" s="5">
        <v>0.23525345484183899</v>
      </c>
      <c r="DE13" s="1"/>
      <c r="DH13" s="734">
        <v>10</v>
      </c>
      <c r="DI13" s="745">
        <f t="shared" si="20"/>
        <v>10</v>
      </c>
      <c r="DJ13" s="518" t="s">
        <v>417</v>
      </c>
      <c r="DK13" s="344">
        <f t="shared" si="21"/>
        <v>6.8499774207387695E-3</v>
      </c>
      <c r="DL13" s="20">
        <f t="shared" si="77"/>
        <v>2152.5002616692914</v>
      </c>
      <c r="DM13" s="344">
        <f t="shared" si="22"/>
        <v>8.2399898919139312E-3</v>
      </c>
      <c r="DN13" s="20">
        <f t="shared" si="23"/>
        <v>16024.501627074344</v>
      </c>
      <c r="DO13" s="344">
        <f t="shared" si="24"/>
        <v>2.332476472120021E-3</v>
      </c>
      <c r="DP13" s="20">
        <f t="shared" si="25"/>
        <v>7552.259437224694</v>
      </c>
      <c r="DQ13" s="20">
        <f t="shared" si="78"/>
        <v>25729.261325968328</v>
      </c>
      <c r="DR13" s="344">
        <f t="shared" si="26"/>
        <v>4.6807455339552021E-3</v>
      </c>
      <c r="DS13" s="342">
        <f t="shared" si="27"/>
        <v>0.50317800000000001</v>
      </c>
      <c r="DW13" s="734">
        <f t="shared" si="102"/>
        <v>10</v>
      </c>
      <c r="DX13" s="745">
        <f t="shared" si="28"/>
        <v>10</v>
      </c>
      <c r="DY13" s="518" t="s">
        <v>417</v>
      </c>
      <c r="DZ13" s="344">
        <f t="shared" si="29"/>
        <v>8.2399898919139312E-3</v>
      </c>
      <c r="EA13" s="20">
        <f t="shared" si="30"/>
        <v>29477.269904804416</v>
      </c>
      <c r="EB13" s="342">
        <f t="shared" si="31"/>
        <v>0.57647700000000002</v>
      </c>
      <c r="EN13" s="734">
        <f t="shared" si="103"/>
        <v>10</v>
      </c>
      <c r="EO13" s="745">
        <f t="shared" si="32"/>
        <v>10</v>
      </c>
      <c r="EP13" s="518" t="s">
        <v>417</v>
      </c>
      <c r="EQ13" s="344">
        <f t="shared" si="33"/>
        <v>7.420005571581712E-3</v>
      </c>
      <c r="ER13" s="20">
        <f t="shared" si="34"/>
        <v>52825.048660976237</v>
      </c>
      <c r="ES13" s="344">
        <f t="shared" si="35"/>
        <v>6.8499774207387695E-3</v>
      </c>
      <c r="ET13" s="20">
        <f t="shared" si="36"/>
        <v>6575.1192067001029</v>
      </c>
      <c r="EU13" s="344">
        <f t="shared" si="37"/>
        <v>2.332476472120021E-3</v>
      </c>
      <c r="EV13" s="20">
        <f t="shared" si="38"/>
        <v>5998.3369694118446</v>
      </c>
      <c r="EW13" s="20">
        <f t="shared" si="39"/>
        <v>65398.504837088185</v>
      </c>
      <c r="EX13" s="344">
        <f t="shared" si="40"/>
        <v>6.140238681166435E-3</v>
      </c>
      <c r="EY13" s="342">
        <f t="shared" si="41"/>
        <v>1.2789759999999999</v>
      </c>
      <c r="FI13" s="734">
        <f t="shared" si="104"/>
        <v>10</v>
      </c>
      <c r="FJ13" s="735">
        <f t="shared" si="42"/>
        <v>10</v>
      </c>
      <c r="FK13" s="518" t="s">
        <v>417</v>
      </c>
      <c r="FL13" s="344">
        <f t="shared" si="43"/>
        <v>7.420005571581712E-3</v>
      </c>
      <c r="FM13" s="20">
        <f t="shared" si="44"/>
        <v>139448.82859746562</v>
      </c>
      <c r="FN13" s="342">
        <f t="shared" si="45"/>
        <v>2.7271540000000001</v>
      </c>
      <c r="FR13" s="734">
        <f t="shared" si="105"/>
        <v>10</v>
      </c>
      <c r="FS13" s="735">
        <v>10</v>
      </c>
      <c r="FT13" s="518" t="s">
        <v>417</v>
      </c>
      <c r="FU13" s="20">
        <f t="shared" si="46"/>
        <v>319837.13072872127</v>
      </c>
      <c r="FV13" s="20">
        <f t="shared" si="47"/>
        <v>88289.424684190832</v>
      </c>
      <c r="FW13" s="20">
        <f t="shared" si="48"/>
        <v>155873.75740940464</v>
      </c>
      <c r="FX13" s="20">
        <f t="shared" si="49"/>
        <v>25729.261325968328</v>
      </c>
      <c r="FY13" s="20">
        <f t="shared" si="50"/>
        <v>29477.269904804416</v>
      </c>
      <c r="FZ13" s="20">
        <f t="shared" si="51"/>
        <v>65398.504837088185</v>
      </c>
      <c r="GA13" s="20">
        <f t="shared" si="52"/>
        <v>139448.82859746562</v>
      </c>
      <c r="GB13" s="20">
        <f t="shared" si="53"/>
        <v>824054.17748764332</v>
      </c>
      <c r="GC13" s="414">
        <f t="shared" si="54"/>
        <v>16.115749000000001</v>
      </c>
      <c r="GG13" s="734">
        <f t="shared" si="79"/>
        <v>10</v>
      </c>
      <c r="GH13" s="735">
        <f t="shared" si="55"/>
        <v>10</v>
      </c>
      <c r="GI13" s="518" t="s">
        <v>417</v>
      </c>
      <c r="GJ13" s="342">
        <f t="shared" si="56"/>
        <v>6.2549469999999996</v>
      </c>
      <c r="GK13" s="342">
        <f t="shared" si="57"/>
        <v>1.7266459999999999</v>
      </c>
      <c r="GL13" s="342">
        <f t="shared" si="58"/>
        <v>3.0483699999999998</v>
      </c>
      <c r="GM13" s="342">
        <f t="shared" si="59"/>
        <v>0.50317800000000001</v>
      </c>
      <c r="GN13" s="342">
        <f t="shared" si="60"/>
        <v>0.57647700000000002</v>
      </c>
      <c r="GO13" s="342">
        <f t="shared" si="61"/>
        <v>1.2789759999999999</v>
      </c>
      <c r="GP13" s="342">
        <f t="shared" si="62"/>
        <v>2.7271540000000001</v>
      </c>
      <c r="GQ13" s="342">
        <f t="shared" si="63"/>
        <v>16.115749000000001</v>
      </c>
      <c r="GR13" s="788">
        <f t="shared" si="80"/>
        <v>5113347.1326760864</v>
      </c>
      <c r="GS13" s="716"/>
      <c r="GV13" s="718">
        <f t="shared" si="81"/>
        <v>10</v>
      </c>
      <c r="GW13" s="735">
        <v>10</v>
      </c>
      <c r="GX13" s="518" t="s">
        <v>417</v>
      </c>
      <c r="GY13" s="322" t="s">
        <v>397</v>
      </c>
      <c r="GZ13" s="924">
        <f t="shared" si="82"/>
        <v>824054.17748764332</v>
      </c>
      <c r="HA13" s="788">
        <f t="shared" si="83"/>
        <v>5113347.1326760864</v>
      </c>
      <c r="HB13" s="922">
        <f t="shared" si="109"/>
        <v>16.115749000000001</v>
      </c>
      <c r="HC13" s="942">
        <f t="shared" si="85"/>
        <v>824054.18940077513</v>
      </c>
      <c r="HD13" s="858">
        <v>2.150618308223784E-2</v>
      </c>
      <c r="HE13" s="54"/>
      <c r="HH13" s="54"/>
      <c r="HI13" s="54"/>
      <c r="HJ13" s="54"/>
      <c r="HK13" s="54"/>
      <c r="HL13" s="54"/>
      <c r="HM13" s="54"/>
      <c r="HN13" s="54"/>
      <c r="HQ13" s="734">
        <v>10</v>
      </c>
      <c r="HR13" s="869">
        <v>10</v>
      </c>
      <c r="HS13" s="518" t="s">
        <v>417</v>
      </c>
      <c r="HT13" s="788">
        <f t="shared" si="86"/>
        <v>5113347.1326760864</v>
      </c>
      <c r="HU13" s="917">
        <f t="shared" si="87"/>
        <v>16.115749000000001</v>
      </c>
      <c r="HV13" s="870"/>
      <c r="HW13" s="768"/>
      <c r="HX13" s="870">
        <v>-3.6744649999999979</v>
      </c>
      <c r="HY13" s="769">
        <v>25</v>
      </c>
      <c r="IP13" s="734">
        <v>10</v>
      </c>
      <c r="IQ13" s="869">
        <v>10</v>
      </c>
      <c r="IR13" s="518" t="s">
        <v>417</v>
      </c>
      <c r="IS13" s="913">
        <f t="shared" si="106"/>
        <v>824054.18940077513</v>
      </c>
      <c r="IT13" s="915">
        <f t="shared" si="88"/>
        <v>5113347.1326760864</v>
      </c>
      <c r="IU13" s="919">
        <f t="shared" si="89"/>
        <v>16.115749000000001</v>
      </c>
      <c r="IV13" s="904">
        <f t="shared" si="110"/>
        <v>751717.82203959394</v>
      </c>
      <c r="IW13" s="904">
        <f t="shared" si="91"/>
        <v>4361629.3106364924</v>
      </c>
      <c r="IX13" s="913">
        <f t="shared" si="111"/>
        <v>11275.767330593908</v>
      </c>
      <c r="IY13" s="882">
        <f t="shared" si="93"/>
        <v>812778.42207018123</v>
      </c>
      <c r="IZ13" s="928">
        <f t="shared" si="112"/>
        <v>15.895232632970316</v>
      </c>
      <c r="JA13" s="928">
        <f t="shared" si="113"/>
        <v>17.395232632970316</v>
      </c>
      <c r="JB13" s="913">
        <f t="shared" si="107"/>
        <v>824054.18940077513</v>
      </c>
      <c r="JC13" s="883">
        <v>0.22223348250775032</v>
      </c>
      <c r="JG13" s="734">
        <v>10</v>
      </c>
      <c r="JH13" s="869">
        <v>10</v>
      </c>
      <c r="JI13" s="518" t="s">
        <v>417</v>
      </c>
      <c r="JJ13" s="788">
        <f t="shared" si="96"/>
        <v>5113347.1326760864</v>
      </c>
      <c r="JK13" s="917">
        <f t="shared" si="97"/>
        <v>15.895232632970316</v>
      </c>
      <c r="JL13" s="870">
        <v>19.646999999999998</v>
      </c>
      <c r="JM13" s="768"/>
      <c r="JN13" s="870"/>
      <c r="JO13" s="769">
        <v>25</v>
      </c>
      <c r="JT13" s="936">
        <v>15.999447926540256</v>
      </c>
      <c r="JU13" s="936">
        <f t="shared" si="64"/>
        <v>-6.2505706430059149E-2</v>
      </c>
      <c r="JV13" s="13">
        <v>53040850</v>
      </c>
      <c r="JW13" s="13">
        <f t="shared" si="65"/>
        <v>-1552933.6464325339</v>
      </c>
    </row>
    <row r="14" spans="1:294" x14ac:dyDescent="0.3">
      <c r="D14" s="13"/>
      <c r="F14" s="696"/>
      <c r="J14" s="756">
        <v>11</v>
      </c>
      <c r="K14" s="757">
        <v>11</v>
      </c>
      <c r="L14" s="732" t="s">
        <v>418</v>
      </c>
      <c r="M14" s="904">
        <v>51487916.353567466</v>
      </c>
      <c r="N14" s="944">
        <f t="shared" si="66"/>
        <v>2.3486446426790514E-2</v>
      </c>
      <c r="O14" s="753">
        <v>247.62580071362774</v>
      </c>
      <c r="P14" s="948">
        <f t="shared" si="67"/>
        <v>207926.29929993357</v>
      </c>
      <c r="Q14" s="733">
        <f t="shared" si="68"/>
        <v>0.11865461068662918</v>
      </c>
      <c r="R14" s="758" t="s">
        <v>397</v>
      </c>
      <c r="V14" s="730">
        <f t="shared" si="98"/>
        <v>11</v>
      </c>
      <c r="W14" s="731">
        <f t="shared" si="0"/>
        <v>11</v>
      </c>
      <c r="X14" s="732" t="s">
        <v>418</v>
      </c>
      <c r="Y14" s="924">
        <f t="shared" si="69"/>
        <v>6280505.8562388811</v>
      </c>
      <c r="Z14" s="944">
        <f t="shared" si="70"/>
        <v>7.5259808403617331E-2</v>
      </c>
      <c r="AD14" s="730">
        <v>11</v>
      </c>
      <c r="AE14" s="746">
        <v>11</v>
      </c>
      <c r="AF14" s="747" t="s">
        <v>418</v>
      </c>
      <c r="AG14" s="748">
        <v>9.5</v>
      </c>
      <c r="AQ14" s="730">
        <f t="shared" si="71"/>
        <v>11</v>
      </c>
      <c r="AR14" s="783">
        <f t="shared" si="1"/>
        <v>11</v>
      </c>
      <c r="AS14" s="732" t="s">
        <v>418</v>
      </c>
      <c r="AT14" s="732">
        <f t="shared" si="2"/>
        <v>9.5</v>
      </c>
      <c r="AU14" s="784">
        <f t="shared" si="72"/>
        <v>51487916.353567466</v>
      </c>
      <c r="AV14" s="784">
        <f>AU14*AT14/3600</f>
        <v>135870.89037746971</v>
      </c>
      <c r="AW14" s="785">
        <f>AV14*$AM$5/$AV$28</f>
        <v>141442.19101212217</v>
      </c>
      <c r="AX14" s="786">
        <f t="shared" si="4"/>
        <v>18.238489259491555</v>
      </c>
      <c r="AY14" s="379">
        <f t="shared" si="108"/>
        <v>2579691.8816135433</v>
      </c>
      <c r="AZ14" s="51">
        <f t="shared" si="73"/>
        <v>7.1837190270849505E-2</v>
      </c>
      <c r="BA14" s="53">
        <f t="shared" si="5"/>
        <v>5.0102859999999998</v>
      </c>
      <c r="BL14" s="756">
        <f t="shared" si="100"/>
        <v>11</v>
      </c>
      <c r="BM14" s="758">
        <f t="shared" si="6"/>
        <v>11</v>
      </c>
      <c r="BN14" s="732" t="s">
        <v>418</v>
      </c>
      <c r="BO14" s="733">
        <f t="shared" si="7"/>
        <v>7.1837190270849505E-2</v>
      </c>
      <c r="BP14" s="379">
        <f t="shared" si="74"/>
        <v>564324.1550951706</v>
      </c>
      <c r="BQ14" s="733">
        <f t="shared" si="8"/>
        <v>2.3486446426790514E-2</v>
      </c>
      <c r="BR14" s="379">
        <f t="shared" si="75"/>
        <v>184500.1034424479</v>
      </c>
      <c r="BS14" s="807">
        <f t="shared" si="9"/>
        <v>748824.25853761844</v>
      </c>
      <c r="BT14" s="808">
        <f t="shared" si="10"/>
        <v>1.454369</v>
      </c>
      <c r="BW14" s="1"/>
      <c r="BX14" s="10"/>
      <c r="BY14" s="10"/>
      <c r="BZ14" s="10"/>
      <c r="CA14" s="10"/>
      <c r="CB14" s="10"/>
      <c r="CC14" s="10"/>
      <c r="CD14" s="10"/>
      <c r="CE14" s="10"/>
      <c r="CI14" s="730">
        <f t="shared" si="101"/>
        <v>11</v>
      </c>
      <c r="CJ14" s="746">
        <f t="shared" si="12"/>
        <v>11</v>
      </c>
      <c r="CK14" s="732" t="s">
        <v>418</v>
      </c>
      <c r="CL14" s="733">
        <f t="shared" si="13"/>
        <v>2.3486446426790514E-2</v>
      </c>
      <c r="CM14" s="379">
        <f t="shared" si="14"/>
        <v>125752.07384363137</v>
      </c>
      <c r="CN14" s="733">
        <f t="shared" si="15"/>
        <v>0.11865461068662918</v>
      </c>
      <c r="CO14" s="379">
        <f t="shared" si="16"/>
        <v>2064724.0606398229</v>
      </c>
      <c r="CP14" s="379">
        <f t="shared" si="17"/>
        <v>2190476.1344834543</v>
      </c>
      <c r="CQ14" s="733">
        <f t="shared" si="18"/>
        <v>9.6261951410260241E-2</v>
      </c>
      <c r="CR14" s="808">
        <f t="shared" si="19"/>
        <v>4.2543499999999996</v>
      </c>
      <c r="DE14" s="1"/>
      <c r="DH14" s="730">
        <v>11</v>
      </c>
      <c r="DI14" s="840">
        <f t="shared" si="20"/>
        <v>11</v>
      </c>
      <c r="DJ14" s="732" t="s">
        <v>418</v>
      </c>
      <c r="DK14" s="733">
        <f t="shared" si="21"/>
        <v>9.6261951410260241E-2</v>
      </c>
      <c r="DL14" s="379">
        <f t="shared" si="77"/>
        <v>30248.840670928057</v>
      </c>
      <c r="DM14" s="733">
        <f t="shared" si="22"/>
        <v>0.11865461068662918</v>
      </c>
      <c r="DN14" s="379">
        <f t="shared" si="23"/>
        <v>230750.40466659135</v>
      </c>
      <c r="DO14" s="733">
        <f t="shared" si="24"/>
        <v>2.3486446426790514E-2</v>
      </c>
      <c r="DP14" s="379">
        <f t="shared" si="25"/>
        <v>76046.098982675496</v>
      </c>
      <c r="DQ14" s="379">
        <f t="shared" si="78"/>
        <v>337045.34432019491</v>
      </c>
      <c r="DR14" s="733">
        <f t="shared" si="26"/>
        <v>6.1316314921752678E-2</v>
      </c>
      <c r="DS14" s="808">
        <f t="shared" si="27"/>
        <v>0.65461100000000005</v>
      </c>
      <c r="DW14" s="730">
        <f t="shared" si="102"/>
        <v>11</v>
      </c>
      <c r="DX14" s="840">
        <f t="shared" si="28"/>
        <v>11</v>
      </c>
      <c r="DY14" s="732" t="s">
        <v>418</v>
      </c>
      <c r="DZ14" s="733">
        <f t="shared" si="29"/>
        <v>0.11865461068662918</v>
      </c>
      <c r="EA14" s="379">
        <f t="shared" si="30"/>
        <v>424468.23728406971</v>
      </c>
      <c r="EB14" s="808">
        <f t="shared" si="31"/>
        <v>0.82440400000000003</v>
      </c>
      <c r="EN14" s="730">
        <f t="shared" si="103"/>
        <v>11</v>
      </c>
      <c r="EO14" s="840">
        <f t="shared" si="32"/>
        <v>11</v>
      </c>
      <c r="EP14" s="732" t="s">
        <v>418</v>
      </c>
      <c r="EQ14" s="733">
        <f t="shared" si="33"/>
        <v>7.5259808403617331E-2</v>
      </c>
      <c r="ER14" s="379">
        <f t="shared" si="34"/>
        <v>535795.15578306501</v>
      </c>
      <c r="ES14" s="733">
        <f t="shared" si="35"/>
        <v>9.6261951410260241E-2</v>
      </c>
      <c r="ET14" s="379">
        <f t="shared" si="36"/>
        <v>92399.400277697903</v>
      </c>
      <c r="EU14" s="733">
        <f t="shared" si="37"/>
        <v>2.3486446426790514E-2</v>
      </c>
      <c r="EV14" s="379">
        <f t="shared" si="38"/>
        <v>60399.16010551685</v>
      </c>
      <c r="EW14" s="379">
        <f t="shared" si="39"/>
        <v>688593.71616627986</v>
      </c>
      <c r="EX14" s="733">
        <f t="shared" si="40"/>
        <v>6.4651780375482151E-2</v>
      </c>
      <c r="EY14" s="808">
        <f t="shared" si="41"/>
        <v>1.3373889999999999</v>
      </c>
      <c r="FI14" s="730">
        <f t="shared" si="104"/>
        <v>11</v>
      </c>
      <c r="FJ14" s="731">
        <f t="shared" si="42"/>
        <v>11</v>
      </c>
      <c r="FK14" s="732" t="s">
        <v>418</v>
      </c>
      <c r="FL14" s="733">
        <f t="shared" si="43"/>
        <v>7.5259808403617331E-2</v>
      </c>
      <c r="FM14" s="379">
        <f t="shared" si="44"/>
        <v>1414404.88435064</v>
      </c>
      <c r="FN14" s="808">
        <f t="shared" si="45"/>
        <v>2.7470620000000001</v>
      </c>
      <c r="FR14" s="730">
        <f t="shared" si="105"/>
        <v>11</v>
      </c>
      <c r="FS14" s="731">
        <v>11</v>
      </c>
      <c r="FT14" s="732" t="s">
        <v>418</v>
      </c>
      <c r="FU14" s="379">
        <f t="shared" si="46"/>
        <v>2579691.8816135433</v>
      </c>
      <c r="FV14" s="379">
        <f t="shared" si="47"/>
        <v>748824.25853761844</v>
      </c>
      <c r="FW14" s="379">
        <f t="shared" si="48"/>
        <v>2190476.1344834543</v>
      </c>
      <c r="FX14" s="379">
        <f t="shared" si="49"/>
        <v>337045.34432019491</v>
      </c>
      <c r="FY14" s="379">
        <f t="shared" si="50"/>
        <v>424468.23728406971</v>
      </c>
      <c r="FZ14" s="379">
        <f t="shared" si="51"/>
        <v>688593.71616627986</v>
      </c>
      <c r="GA14" s="379">
        <f t="shared" si="52"/>
        <v>1414404.88435064</v>
      </c>
      <c r="GB14" s="379">
        <f t="shared" si="53"/>
        <v>8383504.4567558011</v>
      </c>
      <c r="GC14" s="852">
        <f t="shared" si="54"/>
        <v>16.28247</v>
      </c>
      <c r="GG14" s="730">
        <f t="shared" si="79"/>
        <v>11</v>
      </c>
      <c r="GH14" s="731">
        <f t="shared" si="55"/>
        <v>11</v>
      </c>
      <c r="GI14" s="732" t="s">
        <v>418</v>
      </c>
      <c r="GJ14" s="808">
        <f t="shared" si="56"/>
        <v>5.0102859999999998</v>
      </c>
      <c r="GK14" s="808">
        <f t="shared" si="57"/>
        <v>1.454369</v>
      </c>
      <c r="GL14" s="808">
        <f t="shared" si="58"/>
        <v>4.2543499999999996</v>
      </c>
      <c r="GM14" s="808">
        <f t="shared" si="59"/>
        <v>0.65461100000000005</v>
      </c>
      <c r="GN14" s="808">
        <f t="shared" si="60"/>
        <v>0.82440400000000003</v>
      </c>
      <c r="GO14" s="808">
        <f t="shared" si="61"/>
        <v>1.3373889999999999</v>
      </c>
      <c r="GP14" s="808">
        <f t="shared" si="62"/>
        <v>2.7470620000000001</v>
      </c>
      <c r="GQ14" s="808">
        <f t="shared" si="63"/>
        <v>16.28247</v>
      </c>
      <c r="GR14" s="784">
        <f t="shared" si="80"/>
        <v>51487916.353567466</v>
      </c>
      <c r="GS14" s="716"/>
      <c r="GV14" s="717">
        <f t="shared" si="81"/>
        <v>11</v>
      </c>
      <c r="GW14" s="731">
        <v>11</v>
      </c>
      <c r="GX14" s="732" t="s">
        <v>418</v>
      </c>
      <c r="GY14" s="758" t="s">
        <v>397</v>
      </c>
      <c r="GZ14" s="906">
        <f t="shared" si="82"/>
        <v>8383504.4567558011</v>
      </c>
      <c r="HA14" s="784">
        <f t="shared" si="83"/>
        <v>51487916.353567466</v>
      </c>
      <c r="HB14" s="922">
        <f t="shared" si="109"/>
        <v>16.28247</v>
      </c>
      <c r="HC14" s="942">
        <f t="shared" si="85"/>
        <v>8383504.5338947168</v>
      </c>
      <c r="HD14" s="857">
        <v>0.22434761747717857</v>
      </c>
      <c r="HE14" s="54"/>
      <c r="HH14" s="54"/>
      <c r="HI14" s="54"/>
      <c r="HJ14" s="54"/>
      <c r="HK14" s="54"/>
      <c r="HL14" s="54"/>
      <c r="HM14" s="54"/>
      <c r="HN14" s="54"/>
      <c r="HQ14" s="730">
        <v>11</v>
      </c>
      <c r="HR14" s="867">
        <v>11</v>
      </c>
      <c r="HS14" s="732" t="s">
        <v>418</v>
      </c>
      <c r="HT14" s="784">
        <f t="shared" si="86"/>
        <v>51487916.353567466</v>
      </c>
      <c r="HU14" s="917">
        <f t="shared" si="87"/>
        <v>16.28247</v>
      </c>
      <c r="HV14" s="868"/>
      <c r="HW14" s="765"/>
      <c r="HX14" s="868">
        <v>-2.816278999999998</v>
      </c>
      <c r="HY14" s="766">
        <v>25</v>
      </c>
      <c r="IP14" s="730">
        <v>11</v>
      </c>
      <c r="IQ14" s="867">
        <v>11</v>
      </c>
      <c r="IR14" s="732" t="s">
        <v>418</v>
      </c>
      <c r="IS14" s="913">
        <f t="shared" si="106"/>
        <v>8383504.5338947168</v>
      </c>
      <c r="IT14" s="915">
        <f t="shared" si="88"/>
        <v>51487916.353567466</v>
      </c>
      <c r="IU14" s="918">
        <f t="shared" si="89"/>
        <v>16.28247</v>
      </c>
      <c r="IV14" s="904">
        <f t="shared" si="110"/>
        <v>7569285.5068113608</v>
      </c>
      <c r="IW14" s="904">
        <f t="shared" si="91"/>
        <v>43918630.846756108</v>
      </c>
      <c r="IX14" s="913">
        <f t="shared" si="111"/>
        <v>113539.28260217041</v>
      </c>
      <c r="IY14" s="881">
        <f t="shared" si="93"/>
        <v>8269965.2512925463</v>
      </c>
      <c r="IZ14" s="928">
        <f t="shared" si="112"/>
        <v>16.061953632970315</v>
      </c>
      <c r="JA14" s="928">
        <f t="shared" si="113"/>
        <v>17.561953632970315</v>
      </c>
      <c r="JB14" s="913">
        <f t="shared" si="107"/>
        <v>8383504.5338947177</v>
      </c>
      <c r="JC14" s="852">
        <v>0.22223353508375254</v>
      </c>
      <c r="JG14" s="730">
        <v>11</v>
      </c>
      <c r="JH14" s="867">
        <v>11</v>
      </c>
      <c r="JI14" s="732" t="s">
        <v>418</v>
      </c>
      <c r="JJ14" s="784">
        <f t="shared" si="96"/>
        <v>51487916.353567466</v>
      </c>
      <c r="JK14" s="917">
        <f t="shared" si="97"/>
        <v>16.061953632970315</v>
      </c>
      <c r="JL14" s="868">
        <v>18.966000000000001</v>
      </c>
      <c r="JM14" s="765"/>
      <c r="JN14" s="868"/>
      <c r="JO14" s="766">
        <v>25</v>
      </c>
      <c r="JT14" s="936">
        <v>6.4202430000000001</v>
      </c>
      <c r="JU14" s="936">
        <f t="shared" si="64"/>
        <v>-2.0024999999999515E-2</v>
      </c>
      <c r="JV14" s="13">
        <v>29240088</v>
      </c>
      <c r="JW14" s="13">
        <f t="shared" si="65"/>
        <v>82235.860767867416</v>
      </c>
    </row>
    <row r="15" spans="1:294" x14ac:dyDescent="0.3">
      <c r="J15" s="338">
        <v>12</v>
      </c>
      <c r="K15" s="759">
        <v>12</v>
      </c>
      <c r="L15" s="518" t="s">
        <v>419</v>
      </c>
      <c r="M15" s="904">
        <v>29322323.860767867</v>
      </c>
      <c r="N15" s="943">
        <f t="shared" si="66"/>
        <v>1.3375510939999596E-2</v>
      </c>
      <c r="O15" s="455">
        <v>1630.8000000000002</v>
      </c>
      <c r="P15" s="948">
        <f t="shared" si="67"/>
        <v>17980.33104045123</v>
      </c>
      <c r="Q15" s="659">
        <f t="shared" si="68"/>
        <v>1.026060285209018E-2</v>
      </c>
      <c r="R15" s="322" t="s">
        <v>402</v>
      </c>
      <c r="V15" s="734">
        <f t="shared" si="98"/>
        <v>12</v>
      </c>
      <c r="W15" s="735">
        <f t="shared" si="0"/>
        <v>12</v>
      </c>
      <c r="X15" s="518" t="s">
        <v>419</v>
      </c>
      <c r="Y15" s="924">
        <f t="shared" si="69"/>
        <v>1406687.1392717676</v>
      </c>
      <c r="Z15" s="943">
        <f t="shared" si="70"/>
        <v>1.685644548524072E-2</v>
      </c>
      <c r="AD15" s="734">
        <v>12</v>
      </c>
      <c r="AE15" s="146">
        <v>12</v>
      </c>
      <c r="AF15" s="347" t="s">
        <v>419</v>
      </c>
      <c r="AG15" s="369">
        <v>5.03</v>
      </c>
      <c r="AQ15" s="734">
        <f t="shared" si="71"/>
        <v>12</v>
      </c>
      <c r="AR15" s="787">
        <f t="shared" si="1"/>
        <v>12</v>
      </c>
      <c r="AS15" s="518" t="s">
        <v>419</v>
      </c>
      <c r="AT15" s="518">
        <f t="shared" si="2"/>
        <v>5.03</v>
      </c>
      <c r="AU15" s="788">
        <f t="shared" si="72"/>
        <v>29322323.860767867</v>
      </c>
      <c r="AV15" s="788">
        <f t="shared" si="99"/>
        <v>40969.802505461776</v>
      </c>
      <c r="AW15" s="789">
        <f t="shared" si="3"/>
        <v>42649.743558811308</v>
      </c>
      <c r="AX15" s="790">
        <f t="shared" si="4"/>
        <v>18.238489259491555</v>
      </c>
      <c r="AY15" s="358">
        <f t="shared" si="108"/>
        <v>777866.88981744915</v>
      </c>
      <c r="AZ15" s="35">
        <f t="shared" si="73"/>
        <v>2.1661413197245245E-2</v>
      </c>
      <c r="BA15" s="55">
        <f t="shared" si="5"/>
        <v>2.6528149999999999</v>
      </c>
      <c r="BL15" s="338">
        <f t="shared" si="100"/>
        <v>12</v>
      </c>
      <c r="BM15" s="322">
        <f t="shared" si="6"/>
        <v>12</v>
      </c>
      <c r="BN15" s="518" t="s">
        <v>419</v>
      </c>
      <c r="BO15" s="659">
        <f t="shared" si="7"/>
        <v>2.1661413197245245E-2</v>
      </c>
      <c r="BP15" s="358">
        <f t="shared" si="74"/>
        <v>170163.37435545761</v>
      </c>
      <c r="BQ15" s="659">
        <f t="shared" si="8"/>
        <v>1.3375510939999596E-2</v>
      </c>
      <c r="BR15" s="358">
        <f t="shared" si="75"/>
        <v>105072.64944136329</v>
      </c>
      <c r="BS15" s="809">
        <f t="shared" si="9"/>
        <v>275236.0237968209</v>
      </c>
      <c r="BT15" s="810">
        <f t="shared" si="10"/>
        <v>0.93865699999999996</v>
      </c>
      <c r="BW15" s="1"/>
      <c r="BX15" s="10"/>
      <c r="BY15" s="10"/>
      <c r="BZ15" s="10"/>
      <c r="CA15" s="10"/>
      <c r="CB15" s="10"/>
      <c r="CC15" s="10"/>
      <c r="CD15" s="10"/>
      <c r="CE15" s="10"/>
      <c r="CI15" s="734">
        <f t="shared" si="101"/>
        <v>12</v>
      </c>
      <c r="CJ15" s="146">
        <f t="shared" si="12"/>
        <v>12</v>
      </c>
      <c r="CK15" s="518" t="s">
        <v>419</v>
      </c>
      <c r="CL15" s="344">
        <f t="shared" si="13"/>
        <v>1.3375510939999596E-2</v>
      </c>
      <c r="CM15" s="20">
        <f t="shared" si="14"/>
        <v>71615.697362565115</v>
      </c>
      <c r="CN15" s="344">
        <f t="shared" si="15"/>
        <v>1.026060285209018E-2</v>
      </c>
      <c r="CO15" s="20">
        <f t="shared" si="16"/>
        <v>178546.06291980774</v>
      </c>
      <c r="CP15" s="20">
        <f t="shared" si="17"/>
        <v>250161.76028237285</v>
      </c>
      <c r="CQ15" s="344">
        <f t="shared" si="18"/>
        <v>1.0993527313040371E-2</v>
      </c>
      <c r="CR15" s="342">
        <f t="shared" si="19"/>
        <v>0.85314400000000001</v>
      </c>
      <c r="DE15" s="1"/>
      <c r="DH15" s="734">
        <v>12</v>
      </c>
      <c r="DI15" s="745">
        <f t="shared" si="20"/>
        <v>12</v>
      </c>
      <c r="DJ15" s="518" t="s">
        <v>419</v>
      </c>
      <c r="DK15" s="344">
        <f t="shared" si="21"/>
        <v>1.0993527313040371E-2</v>
      </c>
      <c r="DL15" s="20">
        <f t="shared" si="77"/>
        <v>3454.5472144688888</v>
      </c>
      <c r="DM15" s="344">
        <f t="shared" si="22"/>
        <v>1.026060285209018E-2</v>
      </c>
      <c r="DN15" s="20">
        <f t="shared" si="23"/>
        <v>19954.035047959518</v>
      </c>
      <c r="DO15" s="344">
        <f t="shared" si="24"/>
        <v>1.3375510939999596E-2</v>
      </c>
      <c r="DP15" s="20">
        <f t="shared" si="25"/>
        <v>43308.187641652745</v>
      </c>
      <c r="DQ15" s="20">
        <f t="shared" si="78"/>
        <v>66716.769904081157</v>
      </c>
      <c r="DR15" s="344">
        <f t="shared" si="26"/>
        <v>1.2137317850367467E-2</v>
      </c>
      <c r="DS15" s="342">
        <f t="shared" si="27"/>
        <v>0.22752900000000001</v>
      </c>
      <c r="DW15" s="734">
        <f t="shared" si="102"/>
        <v>12</v>
      </c>
      <c r="DX15" s="745">
        <f t="shared" si="28"/>
        <v>12</v>
      </c>
      <c r="DY15" s="518" t="s">
        <v>419</v>
      </c>
      <c r="DZ15" s="344">
        <f t="shared" si="29"/>
        <v>1.026060285209018E-2</v>
      </c>
      <c r="EA15" s="20">
        <f t="shared" si="30"/>
        <v>36705.695471043357</v>
      </c>
      <c r="EB15" s="342">
        <f t="shared" si="31"/>
        <v>0.12518000000000001</v>
      </c>
      <c r="EN15" s="734">
        <f t="shared" si="103"/>
        <v>12</v>
      </c>
      <c r="EO15" s="745">
        <f t="shared" si="32"/>
        <v>12</v>
      </c>
      <c r="EP15" s="518" t="s">
        <v>419</v>
      </c>
      <c r="EQ15" s="344">
        <f t="shared" si="33"/>
        <v>1.685644548524072E-2</v>
      </c>
      <c r="ER15" s="20">
        <f t="shared" si="34"/>
        <v>120005.64479618307</v>
      </c>
      <c r="ES15" s="344">
        <f t="shared" si="35"/>
        <v>1.0993527313040371E-2</v>
      </c>
      <c r="ET15" s="20">
        <f t="shared" si="36"/>
        <v>10552.407423491641</v>
      </c>
      <c r="EU15" s="344">
        <f t="shared" si="37"/>
        <v>1.3375510939999596E-2</v>
      </c>
      <c r="EV15" s="20">
        <f t="shared" si="38"/>
        <v>34397.269475241148</v>
      </c>
      <c r="EW15" s="20">
        <f t="shared" si="39"/>
        <v>164955.32169491588</v>
      </c>
      <c r="EX15" s="344">
        <f t="shared" si="40"/>
        <v>1.5487587207971899E-2</v>
      </c>
      <c r="EY15" s="342">
        <f t="shared" si="41"/>
        <v>0.56255900000000003</v>
      </c>
      <c r="FI15" s="734">
        <f t="shared" si="104"/>
        <v>12</v>
      </c>
      <c r="FJ15" s="735">
        <f t="shared" si="42"/>
        <v>12</v>
      </c>
      <c r="FK15" s="518" t="s">
        <v>419</v>
      </c>
      <c r="FL15" s="344">
        <f t="shared" si="43"/>
        <v>1.685644548524072E-2</v>
      </c>
      <c r="FM15" s="20">
        <f t="shared" si="44"/>
        <v>316793.77522795851</v>
      </c>
      <c r="FN15" s="342">
        <f t="shared" si="45"/>
        <v>1.080384</v>
      </c>
      <c r="FR15" s="734">
        <f t="shared" si="105"/>
        <v>12</v>
      </c>
      <c r="FS15" s="735">
        <v>12</v>
      </c>
      <c r="FT15" s="518" t="s">
        <v>419</v>
      </c>
      <c r="FU15" s="20">
        <f t="shared" si="46"/>
        <v>777866.88981744915</v>
      </c>
      <c r="FV15" s="20">
        <f t="shared" si="47"/>
        <v>275236.0237968209</v>
      </c>
      <c r="FW15" s="20">
        <f t="shared" si="48"/>
        <v>250161.76028237285</v>
      </c>
      <c r="FX15" s="20">
        <f t="shared" si="49"/>
        <v>66716.769904081157</v>
      </c>
      <c r="FY15" s="20">
        <f t="shared" si="50"/>
        <v>36705.695471043357</v>
      </c>
      <c r="FZ15" s="20">
        <f t="shared" si="51"/>
        <v>164955.32169491588</v>
      </c>
      <c r="GA15" s="20">
        <f t="shared" si="52"/>
        <v>316793.77522795851</v>
      </c>
      <c r="GB15" s="20">
        <f t="shared" si="53"/>
        <v>1888436.236194642</v>
      </c>
      <c r="GC15" s="414">
        <f t="shared" si="54"/>
        <v>6.4402679999999997</v>
      </c>
      <c r="GG15" s="734">
        <f t="shared" si="79"/>
        <v>12</v>
      </c>
      <c r="GH15" s="735">
        <f t="shared" si="55"/>
        <v>12</v>
      </c>
      <c r="GI15" s="518" t="s">
        <v>419</v>
      </c>
      <c r="GJ15" s="342">
        <f t="shared" si="56"/>
        <v>2.6528149999999999</v>
      </c>
      <c r="GK15" s="342">
        <f t="shared" si="57"/>
        <v>0.93865699999999996</v>
      </c>
      <c r="GL15" s="342">
        <f t="shared" si="58"/>
        <v>0.85314400000000001</v>
      </c>
      <c r="GM15" s="342">
        <f t="shared" si="59"/>
        <v>0.22752900000000001</v>
      </c>
      <c r="GN15" s="342">
        <f t="shared" si="60"/>
        <v>0.12518000000000001</v>
      </c>
      <c r="GO15" s="342">
        <f t="shared" si="61"/>
        <v>0.56255900000000003</v>
      </c>
      <c r="GP15" s="342">
        <f t="shared" si="62"/>
        <v>1.080384</v>
      </c>
      <c r="GQ15" s="342">
        <f t="shared" si="63"/>
        <v>6.4402679999999997</v>
      </c>
      <c r="GR15" s="788">
        <f t="shared" si="80"/>
        <v>29322323.860767867</v>
      </c>
      <c r="GS15" s="716"/>
      <c r="GV15" s="718">
        <f t="shared" si="81"/>
        <v>12</v>
      </c>
      <c r="GW15" s="735">
        <v>12</v>
      </c>
      <c r="GX15" s="518" t="s">
        <v>419</v>
      </c>
      <c r="GY15" s="322" t="s">
        <v>402</v>
      </c>
      <c r="GZ15" s="924">
        <f t="shared" si="82"/>
        <v>1888436.236194642</v>
      </c>
      <c r="HA15" s="788">
        <f t="shared" si="83"/>
        <v>29322323.860767867</v>
      </c>
      <c r="HB15" s="922">
        <f t="shared" si="109"/>
        <v>6.4402679999999997</v>
      </c>
      <c r="HC15" s="942">
        <f t="shared" si="85"/>
        <v>1888436.2404613975</v>
      </c>
      <c r="HD15" s="858">
        <v>0.12119537964463234</v>
      </c>
      <c r="HE15" s="54"/>
      <c r="HH15" s="54"/>
      <c r="HI15" s="54"/>
      <c r="HJ15" s="54"/>
      <c r="HK15" s="54"/>
      <c r="HL15" s="54"/>
      <c r="HM15" s="54"/>
      <c r="HN15" s="54"/>
      <c r="HQ15" s="734">
        <v>12</v>
      </c>
      <c r="HR15" s="869">
        <v>12</v>
      </c>
      <c r="HS15" s="518" t="s">
        <v>419</v>
      </c>
      <c r="HT15" s="788">
        <f t="shared" si="86"/>
        <v>29322323.860767867</v>
      </c>
      <c r="HU15" s="917">
        <f t="shared" si="87"/>
        <v>6.4402679999999997</v>
      </c>
      <c r="HV15" s="870"/>
      <c r="HW15" s="768"/>
      <c r="HX15" s="870">
        <v>-1.7861609999999999</v>
      </c>
      <c r="HY15" s="769">
        <v>10</v>
      </c>
      <c r="IP15" s="734">
        <v>12</v>
      </c>
      <c r="IQ15" s="869">
        <v>12</v>
      </c>
      <c r="IR15" s="518" t="s">
        <v>419</v>
      </c>
      <c r="IS15" s="913">
        <f t="shared" si="106"/>
        <v>1888436.2404613975</v>
      </c>
      <c r="IT15" s="915">
        <f t="shared" si="88"/>
        <v>29322323.860767867</v>
      </c>
      <c r="IU15" s="919">
        <f t="shared" si="89"/>
        <v>6.4402679999999997</v>
      </c>
      <c r="IV15" s="904">
        <v>0</v>
      </c>
      <c r="IW15" s="904">
        <f t="shared" si="91"/>
        <v>29322323.860767867</v>
      </c>
      <c r="IX15" s="913">
        <v>0</v>
      </c>
      <c r="IY15" s="882">
        <f t="shared" si="93"/>
        <v>1888436.2404613975</v>
      </c>
      <c r="IZ15" s="928">
        <f>IU15</f>
        <v>6.4402679999999997</v>
      </c>
      <c r="JA15" s="929">
        <f>IZ15</f>
        <v>6.4402679999999997</v>
      </c>
      <c r="JB15" s="913">
        <f t="shared" si="107"/>
        <v>1888436.2404613975</v>
      </c>
      <c r="JC15" s="883">
        <v>0</v>
      </c>
      <c r="JG15" s="734">
        <v>12</v>
      </c>
      <c r="JH15" s="869">
        <v>12</v>
      </c>
      <c r="JI15" s="518" t="s">
        <v>419</v>
      </c>
      <c r="JJ15" s="788">
        <f t="shared" si="96"/>
        <v>29322323.860767867</v>
      </c>
      <c r="JK15" s="917">
        <f t="shared" si="97"/>
        <v>6.4402679999999997</v>
      </c>
      <c r="JL15" s="870">
        <v>8.2569999999999997</v>
      </c>
      <c r="JM15" s="768"/>
      <c r="JN15" s="870"/>
      <c r="JO15" s="769">
        <v>10</v>
      </c>
      <c r="JT15" s="936">
        <v>109.12596292654027</v>
      </c>
      <c r="JU15" s="936">
        <f t="shared" si="64"/>
        <v>-0.40922070643004815</v>
      </c>
      <c r="JV15" s="13">
        <v>1174</v>
      </c>
      <c r="JW15" s="13">
        <f t="shared" si="65"/>
        <v>-52.957614771243698</v>
      </c>
    </row>
    <row r="16" spans="1:294" x14ac:dyDescent="0.3">
      <c r="F16" s="5"/>
      <c r="J16" s="756">
        <v>13</v>
      </c>
      <c r="K16" s="757">
        <v>13</v>
      </c>
      <c r="L16" s="732" t="s">
        <v>420</v>
      </c>
      <c r="M16" s="904">
        <v>1121.0423852287563</v>
      </c>
      <c r="N16" s="944">
        <f t="shared" si="66"/>
        <v>5.1136856543258321E-7</v>
      </c>
      <c r="O16" s="753">
        <v>38.909090909090907</v>
      </c>
      <c r="P16" s="948">
        <f t="shared" si="67"/>
        <v>28.811837003542806</v>
      </c>
      <c r="Q16" s="733">
        <f t="shared" si="68"/>
        <v>1.6441678201998762E-5</v>
      </c>
      <c r="R16" s="758" t="s">
        <v>397</v>
      </c>
      <c r="V16" s="730">
        <f>+V15+1</f>
        <v>13</v>
      </c>
      <c r="W16" s="731">
        <f t="shared" si="0"/>
        <v>13</v>
      </c>
      <c r="X16" s="732" t="s">
        <v>420</v>
      </c>
      <c r="Y16" s="924">
        <f t="shared" si="69"/>
        <v>928.57199837103792</v>
      </c>
      <c r="Z16" s="944">
        <f t="shared" si="70"/>
        <v>1.1127153176196371E-5</v>
      </c>
      <c r="AD16" s="730">
        <v>13</v>
      </c>
      <c r="AE16" s="746">
        <v>13</v>
      </c>
      <c r="AF16" s="747" t="s">
        <v>420</v>
      </c>
      <c r="AG16" s="748">
        <v>74.84</v>
      </c>
      <c r="AQ16" s="730">
        <f t="shared" si="71"/>
        <v>13</v>
      </c>
      <c r="AR16" s="783">
        <f t="shared" si="1"/>
        <v>13</v>
      </c>
      <c r="AS16" s="732" t="s">
        <v>420</v>
      </c>
      <c r="AT16" s="732">
        <f t="shared" si="2"/>
        <v>74.84</v>
      </c>
      <c r="AU16" s="784">
        <f t="shared" si="72"/>
        <v>1121.0423852287563</v>
      </c>
      <c r="AV16" s="784">
        <f t="shared" si="99"/>
        <v>23.305225586255592</v>
      </c>
      <c r="AW16" s="785">
        <f t="shared" si="3"/>
        <v>24.260841743172708</v>
      </c>
      <c r="AX16" s="786">
        <f t="shared" si="4"/>
        <v>18.238489259491555</v>
      </c>
      <c r="AY16" s="379">
        <f>AW16*AX16</f>
        <v>442.48110155907983</v>
      </c>
      <c r="AZ16" s="51">
        <f t="shared" si="73"/>
        <v>1.2321858788838321E-5</v>
      </c>
      <c r="BA16" s="53">
        <f t="shared" si="5"/>
        <v>39.470506</v>
      </c>
      <c r="BL16" s="756">
        <f t="shared" si="100"/>
        <v>13</v>
      </c>
      <c r="BM16" s="758">
        <f t="shared" si="6"/>
        <v>13</v>
      </c>
      <c r="BN16" s="732" t="s">
        <v>420</v>
      </c>
      <c r="BO16" s="733">
        <f t="shared" si="7"/>
        <v>1.2321858788838321E-5</v>
      </c>
      <c r="BP16" s="379">
        <f t="shared" si="74"/>
        <v>96.79558072909245</v>
      </c>
      <c r="BQ16" s="733">
        <f t="shared" si="8"/>
        <v>5.1136856543258321E-7</v>
      </c>
      <c r="BR16" s="379">
        <f t="shared" si="75"/>
        <v>4.0171063559409932</v>
      </c>
      <c r="BS16" s="807">
        <f t="shared" si="9"/>
        <v>100.81268708503345</v>
      </c>
      <c r="BT16" s="808">
        <f t="shared" si="10"/>
        <v>8.9927630000000001</v>
      </c>
      <c r="BW16" s="1"/>
      <c r="BX16" s="10"/>
      <c r="BY16" s="10"/>
      <c r="BZ16" s="10"/>
      <c r="CA16" s="10"/>
      <c r="CB16" s="10"/>
      <c r="CC16" s="10"/>
      <c r="CD16" s="10"/>
      <c r="CE16" s="10"/>
      <c r="CI16" s="730">
        <f t="shared" si="101"/>
        <v>13</v>
      </c>
      <c r="CJ16" s="746">
        <f t="shared" si="12"/>
        <v>13</v>
      </c>
      <c r="CK16" s="732" t="s">
        <v>420</v>
      </c>
      <c r="CL16" s="733">
        <f t="shared" si="13"/>
        <v>5.1136856543258321E-7</v>
      </c>
      <c r="CM16" s="379">
        <f t="shared" si="14"/>
        <v>2.7379900915209499</v>
      </c>
      <c r="CN16" s="733">
        <f t="shared" si="15"/>
        <v>1.6441678201998762E-5</v>
      </c>
      <c r="CO16" s="379">
        <f t="shared" si="16"/>
        <v>286.10374585965911</v>
      </c>
      <c r="CP16" s="379">
        <f t="shared" si="17"/>
        <v>288.84173595118006</v>
      </c>
      <c r="CQ16" s="733">
        <f t="shared" si="18"/>
        <v>1.2693344937056074E-5</v>
      </c>
      <c r="CR16" s="808">
        <f t="shared" si="19"/>
        <v>25.765460999999998</v>
      </c>
      <c r="DE16" s="1"/>
      <c r="DH16" s="730">
        <v>13</v>
      </c>
      <c r="DI16" s="840">
        <f t="shared" si="20"/>
        <v>13</v>
      </c>
      <c r="DJ16" s="732" t="s">
        <v>420</v>
      </c>
      <c r="DK16" s="733">
        <f t="shared" si="21"/>
        <v>1.2693344937056074E-5</v>
      </c>
      <c r="DL16" s="379">
        <f t="shared" si="77"/>
        <v>3.9886888116961194</v>
      </c>
      <c r="DM16" s="733">
        <f t="shared" si="22"/>
        <v>1.6441678201998762E-5</v>
      </c>
      <c r="DN16" s="379">
        <f t="shared" si="23"/>
        <v>31.974517269530885</v>
      </c>
      <c r="DO16" s="733">
        <f t="shared" si="24"/>
        <v>5.1136856543258321E-7</v>
      </c>
      <c r="DP16" s="379">
        <f t="shared" si="25"/>
        <v>1.6557457793681685</v>
      </c>
      <c r="DQ16" s="379">
        <f t="shared" si="78"/>
        <v>37.618951860595175</v>
      </c>
      <c r="DR16" s="733">
        <f t="shared" si="26"/>
        <v>6.8437542253043913E-6</v>
      </c>
      <c r="DS16" s="808">
        <f t="shared" si="27"/>
        <v>3.355712</v>
      </c>
      <c r="DW16" s="730">
        <f t="shared" si="102"/>
        <v>13</v>
      </c>
      <c r="DX16" s="840">
        <f t="shared" si="28"/>
        <v>13</v>
      </c>
      <c r="DY16" s="732" t="s">
        <v>420</v>
      </c>
      <c r="DZ16" s="733">
        <f t="shared" si="29"/>
        <v>1.6441678201998762E-5</v>
      </c>
      <c r="EA16" s="379">
        <f t="shared" si="30"/>
        <v>58.817521915149364</v>
      </c>
      <c r="EB16" s="808">
        <f t="shared" si="31"/>
        <v>5.2466809999999997</v>
      </c>
      <c r="EN16" s="730">
        <f>+EN15+1</f>
        <v>13</v>
      </c>
      <c r="EO16" s="840">
        <f t="shared" si="32"/>
        <v>13</v>
      </c>
      <c r="EP16" s="732" t="s">
        <v>420</v>
      </c>
      <c r="EQ16" s="733">
        <f t="shared" si="33"/>
        <v>1.1127153176196371E-5</v>
      </c>
      <c r="ER16" s="379">
        <f t="shared" si="34"/>
        <v>79.217246175923108</v>
      </c>
      <c r="ES16" s="733">
        <f t="shared" si="35"/>
        <v>1.2693344937056074E-5</v>
      </c>
      <c r="ET16" s="379">
        <f t="shared" si="36"/>
        <v>12.184019153147183</v>
      </c>
      <c r="EU16" s="733">
        <f t="shared" si="37"/>
        <v>5.1136856543258321E-7</v>
      </c>
      <c r="EV16" s="379">
        <f t="shared" si="38"/>
        <v>1.3150662001067885</v>
      </c>
      <c r="EW16" s="379">
        <f t="shared" si="39"/>
        <v>92.716331529177083</v>
      </c>
      <c r="EX16" s="733">
        <f t="shared" si="40"/>
        <v>8.7050981769303073E-6</v>
      </c>
      <c r="EY16" s="808">
        <f t="shared" si="41"/>
        <v>8.2705459999999995</v>
      </c>
      <c r="FI16" s="730">
        <f>+FI15+1</f>
        <v>13</v>
      </c>
      <c r="FJ16" s="731">
        <f t="shared" si="42"/>
        <v>13</v>
      </c>
      <c r="FK16" s="732" t="s">
        <v>420</v>
      </c>
      <c r="FL16" s="733">
        <f t="shared" si="43"/>
        <v>1.1127153176196371E-5</v>
      </c>
      <c r="FM16" s="379">
        <f t="shared" si="44"/>
        <v>209.11958368171224</v>
      </c>
      <c r="FN16" s="808">
        <f t="shared" si="45"/>
        <v>18.654029999999999</v>
      </c>
      <c r="FR16" s="730">
        <f>+FR15+1</f>
        <v>13</v>
      </c>
      <c r="FS16" s="731">
        <v>13</v>
      </c>
      <c r="FT16" s="732" t="s">
        <v>420</v>
      </c>
      <c r="FU16" s="379">
        <f t="shared" si="46"/>
        <v>442.48110155907983</v>
      </c>
      <c r="FV16" s="379">
        <f t="shared" si="47"/>
        <v>100.81268708503345</v>
      </c>
      <c r="FW16" s="379">
        <f t="shared" si="48"/>
        <v>288.84173595118006</v>
      </c>
      <c r="FX16" s="379">
        <f t="shared" si="49"/>
        <v>37.618951860595175</v>
      </c>
      <c r="FY16" s="379">
        <f t="shared" si="50"/>
        <v>58.817521915149364</v>
      </c>
      <c r="FZ16" s="379">
        <f t="shared" si="51"/>
        <v>92.716331529177083</v>
      </c>
      <c r="GA16" s="379">
        <f t="shared" si="52"/>
        <v>209.11958368171224</v>
      </c>
      <c r="GB16" s="379">
        <f t="shared" si="53"/>
        <v>1230.4079135819272</v>
      </c>
      <c r="GC16" s="852">
        <f t="shared" si="54"/>
        <v>109.7557</v>
      </c>
      <c r="GG16" s="730">
        <f t="shared" si="79"/>
        <v>13</v>
      </c>
      <c r="GH16" s="731">
        <f t="shared" si="55"/>
        <v>13</v>
      </c>
      <c r="GI16" s="732" t="s">
        <v>420</v>
      </c>
      <c r="GJ16" s="808">
        <f t="shared" si="56"/>
        <v>39.470506</v>
      </c>
      <c r="GK16" s="808">
        <f t="shared" si="57"/>
        <v>8.9927630000000001</v>
      </c>
      <c r="GL16" s="808">
        <f t="shared" si="58"/>
        <v>25.765460999999998</v>
      </c>
      <c r="GM16" s="808">
        <f t="shared" si="59"/>
        <v>3.355712</v>
      </c>
      <c r="GN16" s="808">
        <f t="shared" si="60"/>
        <v>5.2466809999999997</v>
      </c>
      <c r="GO16" s="808">
        <f t="shared" si="61"/>
        <v>8.2705459999999995</v>
      </c>
      <c r="GP16" s="808">
        <f t="shared" si="62"/>
        <v>18.654029999999999</v>
      </c>
      <c r="GQ16" s="808">
        <f t="shared" si="63"/>
        <v>109.7557</v>
      </c>
      <c r="GR16" s="784">
        <f t="shared" si="80"/>
        <v>1121.0423852287563</v>
      </c>
      <c r="GS16" s="716"/>
      <c r="GV16" s="717">
        <f t="shared" si="81"/>
        <v>13</v>
      </c>
      <c r="GW16" s="731">
        <v>13</v>
      </c>
      <c r="GX16" s="732" t="s">
        <v>420</v>
      </c>
      <c r="GY16" s="758" t="s">
        <v>397</v>
      </c>
      <c r="GZ16" s="906">
        <f t="shared" si="82"/>
        <v>1230.4079135819272</v>
      </c>
      <c r="HA16" s="784">
        <f t="shared" si="83"/>
        <v>1121.0423852287563</v>
      </c>
      <c r="HB16" s="922">
        <f t="shared" si="109"/>
        <v>109.7557</v>
      </c>
      <c r="HC16" s="942">
        <f t="shared" si="85"/>
        <v>1230.4079172045181</v>
      </c>
      <c r="HD16" s="857">
        <v>3.0916014566173544E-6</v>
      </c>
      <c r="HE16" s="54"/>
      <c r="HH16" s="54"/>
      <c r="HI16" s="54"/>
      <c r="HJ16" s="54"/>
      <c r="HK16" s="54"/>
      <c r="HL16" s="54"/>
      <c r="HM16" s="54"/>
      <c r="HN16" s="54"/>
      <c r="HQ16" s="730">
        <v>13</v>
      </c>
      <c r="HR16" s="867">
        <v>13</v>
      </c>
      <c r="HS16" s="732" t="s">
        <v>420</v>
      </c>
      <c r="HT16" s="784">
        <f t="shared" si="86"/>
        <v>1121.0423852287563</v>
      </c>
      <c r="HU16" s="917">
        <f t="shared" si="87"/>
        <v>109.7557</v>
      </c>
      <c r="HV16" s="868"/>
      <c r="HW16" s="765"/>
      <c r="HX16" s="868">
        <v>-62.519793000000007</v>
      </c>
      <c r="HY16" s="766">
        <v>10</v>
      </c>
      <c r="IP16" s="730">
        <v>13</v>
      </c>
      <c r="IQ16" s="867">
        <v>13</v>
      </c>
      <c r="IR16" s="732" t="s">
        <v>420</v>
      </c>
      <c r="IS16" s="913">
        <f t="shared" si="106"/>
        <v>1230.4079172045181</v>
      </c>
      <c r="IT16" s="915">
        <f t="shared" si="88"/>
        <v>1121.0423852287563</v>
      </c>
      <c r="IU16" s="918">
        <f t="shared" si="89"/>
        <v>109.7557</v>
      </c>
      <c r="IV16" s="904">
        <f>IT16*$IK$4/(1-$IL$4)</f>
        <v>164.80546271795919</v>
      </c>
      <c r="IW16" s="904">
        <f t="shared" si="91"/>
        <v>956.23692251079706</v>
      </c>
      <c r="IX16" s="913">
        <f>IV16*$II$4</f>
        <v>2.4720819407693879</v>
      </c>
      <c r="IY16" s="881">
        <f t="shared" si="93"/>
        <v>1227.9358352637487</v>
      </c>
      <c r="IZ16" s="928">
        <f>100*IY16/IT16</f>
        <v>109.53518363297032</v>
      </c>
      <c r="JA16" s="928">
        <f>IZ16+1.5</f>
        <v>111.03518363297032</v>
      </c>
      <c r="JB16" s="913">
        <f t="shared" si="107"/>
        <v>1230.4079172045181</v>
      </c>
      <c r="JC16" s="852">
        <v>0.22223338397144232</v>
      </c>
      <c r="JG16" s="730">
        <v>13</v>
      </c>
      <c r="JH16" s="867">
        <v>13</v>
      </c>
      <c r="JI16" s="732" t="s">
        <v>420</v>
      </c>
      <c r="JJ16" s="784">
        <f t="shared" si="96"/>
        <v>1121.0423852287563</v>
      </c>
      <c r="JK16" s="917">
        <f t="shared" si="97"/>
        <v>109.53518363297032</v>
      </c>
      <c r="JL16" s="868">
        <v>172.63300000000001</v>
      </c>
      <c r="JM16" s="765"/>
      <c r="JN16" s="868"/>
      <c r="JO16" s="766">
        <v>10</v>
      </c>
      <c r="JT16" s="936">
        <v>7.0486779999999998</v>
      </c>
      <c r="JU16" s="936">
        <f t="shared" si="64"/>
        <v>-2.2719000000000378E-2</v>
      </c>
      <c r="JV16" s="13">
        <v>4661820</v>
      </c>
      <c r="JW16" s="13">
        <f t="shared" si="65"/>
        <v>-131054</v>
      </c>
    </row>
    <row r="17" spans="3:294" x14ac:dyDescent="0.3">
      <c r="J17" s="338">
        <v>14</v>
      </c>
      <c r="K17" s="759">
        <v>14</v>
      </c>
      <c r="L17" s="518" t="s">
        <v>421</v>
      </c>
      <c r="M17" s="904">
        <v>4530766</v>
      </c>
      <c r="N17" s="943">
        <f t="shared" si="66"/>
        <v>2.0667294477522778E-3</v>
      </c>
      <c r="O17" s="455">
        <v>1224</v>
      </c>
      <c r="P17" s="948">
        <f t="shared" si="67"/>
        <v>3701.6062091503268</v>
      </c>
      <c r="Q17" s="659">
        <f t="shared" si="68"/>
        <v>2.1123477171513414E-3</v>
      </c>
      <c r="R17" s="322" t="s">
        <v>402</v>
      </c>
      <c r="V17" s="734">
        <f t="shared" si="98"/>
        <v>14</v>
      </c>
      <c r="W17" s="735">
        <f t="shared" si="0"/>
        <v>14</v>
      </c>
      <c r="X17" s="518" t="s">
        <v>421</v>
      </c>
      <c r="Y17" s="924">
        <f t="shared" si="69"/>
        <v>238880.0730805487</v>
      </c>
      <c r="Z17" s="943">
        <f t="shared" si="70"/>
        <v>2.8625191892186971E-3</v>
      </c>
      <c r="AD17" s="734">
        <v>14</v>
      </c>
      <c r="AE17" s="146">
        <v>14</v>
      </c>
      <c r="AF17" s="347" t="s">
        <v>421</v>
      </c>
      <c r="AG17" s="369">
        <v>5.35</v>
      </c>
      <c r="AQ17" s="734">
        <f t="shared" si="71"/>
        <v>14</v>
      </c>
      <c r="AR17" s="787">
        <f t="shared" si="1"/>
        <v>14</v>
      </c>
      <c r="AS17" s="518" t="s">
        <v>421</v>
      </c>
      <c r="AT17" s="518">
        <f>VLOOKUP(AR17,$AE$4:$AG$27,$AT$30,FALSE)</f>
        <v>5.35</v>
      </c>
      <c r="AU17" s="788">
        <f t="shared" si="72"/>
        <v>4530766</v>
      </c>
      <c r="AV17" s="788">
        <f t="shared" si="99"/>
        <v>6733.2216944444435</v>
      </c>
      <c r="AW17" s="789">
        <f t="shared" si="3"/>
        <v>7009.3132265989607</v>
      </c>
      <c r="AX17" s="790">
        <f t="shared" si="4"/>
        <v>18.238489259491555</v>
      </c>
      <c r="AY17" s="358">
        <f t="shared" si="108"/>
        <v>127839.28399973724</v>
      </c>
      <c r="AZ17" s="35">
        <f t="shared" si="73"/>
        <v>3.5599658370960691E-3</v>
      </c>
      <c r="BA17" s="55">
        <f t="shared" si="5"/>
        <v>2.8215819999999998</v>
      </c>
      <c r="BL17" s="338">
        <f t="shared" si="100"/>
        <v>14</v>
      </c>
      <c r="BM17" s="322">
        <f t="shared" si="6"/>
        <v>14</v>
      </c>
      <c r="BN17" s="518" t="s">
        <v>421</v>
      </c>
      <c r="BO17" s="659">
        <f t="shared" si="7"/>
        <v>3.5599658370960691E-3</v>
      </c>
      <c r="BP17" s="358">
        <f t="shared" si="74"/>
        <v>27965.66382416162</v>
      </c>
      <c r="BQ17" s="659">
        <f t="shared" si="8"/>
        <v>2.0667294477522778E-3</v>
      </c>
      <c r="BR17" s="358">
        <f t="shared" si="75"/>
        <v>16235.397640355412</v>
      </c>
      <c r="BS17" s="809">
        <f t="shared" si="9"/>
        <v>44201.061464517028</v>
      </c>
      <c r="BT17" s="810">
        <f t="shared" si="10"/>
        <v>0.975576</v>
      </c>
      <c r="BW17" s="1"/>
      <c r="BX17" s="10"/>
      <c r="BY17" s="10"/>
      <c r="BZ17" s="10"/>
      <c r="CA17" s="10"/>
      <c r="CB17" s="10"/>
      <c r="CC17" s="10"/>
      <c r="CD17" s="10"/>
      <c r="CE17" s="10"/>
      <c r="CI17" s="734">
        <f t="shared" si="101"/>
        <v>14</v>
      </c>
      <c r="CJ17" s="146">
        <f t="shared" si="12"/>
        <v>14</v>
      </c>
      <c r="CK17" s="518" t="s">
        <v>421</v>
      </c>
      <c r="CL17" s="344">
        <f t="shared" si="13"/>
        <v>2.0667294477522778E-3</v>
      </c>
      <c r="CM17" s="20">
        <f t="shared" si="14"/>
        <v>11065.765735939276</v>
      </c>
      <c r="CN17" s="344">
        <f t="shared" si="15"/>
        <v>2.1123477171513414E-3</v>
      </c>
      <c r="CO17" s="20">
        <f t="shared" si="16"/>
        <v>36757.232869429929</v>
      </c>
      <c r="CP17" s="20">
        <f t="shared" si="17"/>
        <v>47822.998605369205</v>
      </c>
      <c r="CQ17" s="344">
        <f t="shared" si="18"/>
        <v>2.1016139347843541E-3</v>
      </c>
      <c r="CR17" s="342">
        <f t="shared" si="19"/>
        <v>1.055517</v>
      </c>
      <c r="DE17" s="1"/>
      <c r="DH17" s="734">
        <v>14</v>
      </c>
      <c r="DI17" s="745">
        <f t="shared" si="20"/>
        <v>14</v>
      </c>
      <c r="DJ17" s="518" t="s">
        <v>421</v>
      </c>
      <c r="DK17" s="344">
        <f t="shared" si="21"/>
        <v>2.1016139347843541E-3</v>
      </c>
      <c r="DL17" s="20">
        <f t="shared" si="77"/>
        <v>660.39992056839037</v>
      </c>
      <c r="DM17" s="344">
        <f t="shared" si="22"/>
        <v>2.1123477171513414E-3</v>
      </c>
      <c r="DN17" s="20">
        <f t="shared" si="23"/>
        <v>4107.9321545837656</v>
      </c>
      <c r="DO17" s="344">
        <f t="shared" si="24"/>
        <v>2.0667294477522778E-3</v>
      </c>
      <c r="DP17" s="20">
        <f t="shared" si="25"/>
        <v>6691.8046816526103</v>
      </c>
      <c r="DQ17" s="20">
        <f t="shared" si="78"/>
        <v>11460.136756804766</v>
      </c>
      <c r="DR17" s="344">
        <f t="shared" si="26"/>
        <v>2.0848629606318842E-3</v>
      </c>
      <c r="DS17" s="342">
        <f t="shared" si="27"/>
        <v>0.25294</v>
      </c>
      <c r="DW17" s="734">
        <f t="shared" si="102"/>
        <v>14</v>
      </c>
      <c r="DX17" s="745">
        <f t="shared" si="28"/>
        <v>14</v>
      </c>
      <c r="DY17" s="518" t="s">
        <v>421</v>
      </c>
      <c r="DZ17" s="344">
        <f t="shared" si="29"/>
        <v>2.1123477171513414E-3</v>
      </c>
      <c r="EA17" s="20">
        <f t="shared" si="30"/>
        <v>7556.5922541204418</v>
      </c>
      <c r="EB17" s="342">
        <f t="shared" si="31"/>
        <v>0.16678399999999999</v>
      </c>
      <c r="EN17" s="734">
        <f t="shared" si="103"/>
        <v>14</v>
      </c>
      <c r="EO17" s="745">
        <f t="shared" si="32"/>
        <v>14</v>
      </c>
      <c r="EP17" s="518" t="s">
        <v>421</v>
      </c>
      <c r="EQ17" s="344">
        <f t="shared" si="33"/>
        <v>2.8625191892186971E-3</v>
      </c>
      <c r="ER17" s="20">
        <f t="shared" si="34"/>
        <v>20379.0568625169</v>
      </c>
      <c r="ES17" s="344">
        <f t="shared" si="35"/>
        <v>2.1016139347843541E-3</v>
      </c>
      <c r="ET17" s="20">
        <f t="shared" si="36"/>
        <v>2017.2857951083399</v>
      </c>
      <c r="EU17" s="344">
        <f t="shared" si="37"/>
        <v>2.0667294477522778E-3</v>
      </c>
      <c r="EV17" s="20">
        <f t="shared" si="38"/>
        <v>5314.9259168976132</v>
      </c>
      <c r="EW17" s="20">
        <f t="shared" si="39"/>
        <v>27711.268574522852</v>
      </c>
      <c r="EX17" s="344">
        <f t="shared" si="40"/>
        <v>2.6017995920448178E-3</v>
      </c>
      <c r="EY17" s="342">
        <f t="shared" si="41"/>
        <v>0.61162399999999995</v>
      </c>
      <c r="FI17" s="734">
        <f t="shared" si="104"/>
        <v>14</v>
      </c>
      <c r="FJ17" s="735">
        <f t="shared" si="42"/>
        <v>14</v>
      </c>
      <c r="FK17" s="518" t="s">
        <v>421</v>
      </c>
      <c r="FL17" s="344">
        <f t="shared" si="43"/>
        <v>2.8625191892186971E-3</v>
      </c>
      <c r="FM17" s="20">
        <f t="shared" si="44"/>
        <v>53797.122377257569</v>
      </c>
      <c r="FN17" s="342">
        <f t="shared" si="45"/>
        <v>1.1873739999999999</v>
      </c>
      <c r="FR17" s="734">
        <f t="shared" si="105"/>
        <v>14</v>
      </c>
      <c r="FS17" s="735">
        <v>14</v>
      </c>
      <c r="FT17" s="518" t="s">
        <v>421</v>
      </c>
      <c r="FU17" s="20">
        <f t="shared" si="46"/>
        <v>127839.28399973724</v>
      </c>
      <c r="FV17" s="20">
        <f t="shared" si="47"/>
        <v>44201.061464517028</v>
      </c>
      <c r="FW17" s="20">
        <f t="shared" si="48"/>
        <v>47822.998605369205</v>
      </c>
      <c r="FX17" s="20">
        <f t="shared" si="49"/>
        <v>11460.136756804766</v>
      </c>
      <c r="FY17" s="20">
        <f t="shared" si="50"/>
        <v>7556.5922541204418</v>
      </c>
      <c r="FZ17" s="20">
        <f t="shared" si="51"/>
        <v>27711.268574522852</v>
      </c>
      <c r="GA17" s="20">
        <f t="shared" si="52"/>
        <v>53797.122377257569</v>
      </c>
      <c r="GB17" s="20">
        <f t="shared" si="53"/>
        <v>320388.4640323291</v>
      </c>
      <c r="GC17" s="414">
        <f t="shared" si="54"/>
        <v>7.0713970000000002</v>
      </c>
      <c r="GG17" s="734">
        <f t="shared" si="79"/>
        <v>14</v>
      </c>
      <c r="GH17" s="735">
        <f t="shared" si="55"/>
        <v>14</v>
      </c>
      <c r="GI17" s="518" t="s">
        <v>421</v>
      </c>
      <c r="GJ17" s="342">
        <f t="shared" si="56"/>
        <v>2.8215819999999998</v>
      </c>
      <c r="GK17" s="342">
        <f t="shared" si="57"/>
        <v>0.975576</v>
      </c>
      <c r="GL17" s="342">
        <f t="shared" si="58"/>
        <v>1.055517</v>
      </c>
      <c r="GM17" s="342">
        <f t="shared" si="59"/>
        <v>0.25294</v>
      </c>
      <c r="GN17" s="342">
        <f t="shared" si="60"/>
        <v>0.16678399999999999</v>
      </c>
      <c r="GO17" s="342">
        <f t="shared" si="61"/>
        <v>0.61162399999999995</v>
      </c>
      <c r="GP17" s="342">
        <f t="shared" si="62"/>
        <v>1.1873739999999999</v>
      </c>
      <c r="GQ17" s="342">
        <f t="shared" si="63"/>
        <v>7.0713970000000002</v>
      </c>
      <c r="GR17" s="788">
        <f t="shared" si="80"/>
        <v>4530766</v>
      </c>
      <c r="GS17" s="716"/>
      <c r="GV17" s="718">
        <f t="shared" si="81"/>
        <v>14</v>
      </c>
      <c r="GW17" s="735">
        <v>14</v>
      </c>
      <c r="GX17" s="518" t="s">
        <v>421</v>
      </c>
      <c r="GY17" s="322" t="s">
        <v>402</v>
      </c>
      <c r="GZ17" s="924">
        <f t="shared" si="82"/>
        <v>320388.4640323291</v>
      </c>
      <c r="HA17" s="788">
        <f t="shared" si="83"/>
        <v>4530766</v>
      </c>
      <c r="HB17" s="922">
        <f t="shared" si="109"/>
        <v>7.0713970000000002</v>
      </c>
      <c r="HC17" s="942">
        <f t="shared" si="85"/>
        <v>320388.45100101997</v>
      </c>
      <c r="HD17" s="858">
        <v>1.3547623995691538E-2</v>
      </c>
      <c r="HE17" s="54"/>
      <c r="HH17" s="54"/>
      <c r="HI17" s="54"/>
      <c r="HJ17" s="54"/>
      <c r="HK17" s="54"/>
      <c r="HL17" s="54"/>
      <c r="HM17" s="54"/>
      <c r="HN17" s="54"/>
      <c r="HQ17" s="734">
        <v>14</v>
      </c>
      <c r="HR17" s="869">
        <v>14</v>
      </c>
      <c r="HS17" s="518" t="s">
        <v>421</v>
      </c>
      <c r="HT17" s="788">
        <f t="shared" si="86"/>
        <v>4530766</v>
      </c>
      <c r="HU17" s="917">
        <f t="shared" si="87"/>
        <v>7.0713970000000002</v>
      </c>
      <c r="HV17" s="870"/>
      <c r="HW17" s="768"/>
      <c r="HX17" s="870">
        <v>-1.889964</v>
      </c>
      <c r="HY17" s="769">
        <v>10</v>
      </c>
      <c r="IP17" s="734">
        <v>14</v>
      </c>
      <c r="IQ17" s="869">
        <v>14</v>
      </c>
      <c r="IR17" s="518" t="s">
        <v>421</v>
      </c>
      <c r="IS17" s="913">
        <f t="shared" si="106"/>
        <v>320388.45100101997</v>
      </c>
      <c r="IT17" s="915">
        <f t="shared" si="88"/>
        <v>4530766</v>
      </c>
      <c r="IU17" s="919">
        <f t="shared" si="89"/>
        <v>7.0713970000000002</v>
      </c>
      <c r="IV17" s="904">
        <v>0</v>
      </c>
      <c r="IW17" s="904">
        <f t="shared" si="91"/>
        <v>4530766</v>
      </c>
      <c r="IX17" s="913">
        <v>0</v>
      </c>
      <c r="IY17" s="882">
        <f t="shared" si="93"/>
        <v>320388.45100101997</v>
      </c>
      <c r="IZ17" s="928">
        <f>IU17</f>
        <v>7.0713970000000002</v>
      </c>
      <c r="JA17" s="929">
        <f>IZ17</f>
        <v>7.0713970000000002</v>
      </c>
      <c r="JB17" s="913">
        <f t="shared" si="107"/>
        <v>320388.45100101997</v>
      </c>
      <c r="JC17" s="883">
        <v>0</v>
      </c>
      <c r="JG17" s="734">
        <v>14</v>
      </c>
      <c r="JH17" s="869">
        <v>14</v>
      </c>
      <c r="JI17" s="518" t="s">
        <v>421</v>
      </c>
      <c r="JJ17" s="788">
        <f t="shared" si="96"/>
        <v>4530766</v>
      </c>
      <c r="JK17" s="917">
        <f t="shared" si="97"/>
        <v>7.0713970000000002</v>
      </c>
      <c r="JL17" s="870">
        <v>8.9960000000000004</v>
      </c>
      <c r="JM17" s="768"/>
      <c r="JN17" s="870"/>
      <c r="JO17" s="769">
        <v>10</v>
      </c>
      <c r="JT17" s="936">
        <v>5.1476399265402577</v>
      </c>
      <c r="JU17" s="936">
        <f t="shared" si="64"/>
        <v>-1.6519706430056402E-2</v>
      </c>
      <c r="JV17" s="13">
        <v>96124959</v>
      </c>
      <c r="JW17" s="13">
        <f t="shared" si="65"/>
        <v>-1268145.2108544409</v>
      </c>
    </row>
    <row r="18" spans="3:294" x14ac:dyDescent="0.3">
      <c r="J18" s="756">
        <v>15</v>
      </c>
      <c r="K18" s="757">
        <v>15</v>
      </c>
      <c r="L18" s="732" t="s">
        <v>422</v>
      </c>
      <c r="M18" s="904">
        <v>94856813.789145559</v>
      </c>
      <c r="N18" s="944">
        <f t="shared" si="66"/>
        <v>4.3269365572616514E-2</v>
      </c>
      <c r="O18" s="753">
        <v>1647.5553979923125</v>
      </c>
      <c r="P18" s="948">
        <f t="shared" si="67"/>
        <v>57574.278779782893</v>
      </c>
      <c r="Q18" s="733">
        <f t="shared" si="68"/>
        <v>3.285516866879945E-2</v>
      </c>
      <c r="R18" s="758" t="s">
        <v>397</v>
      </c>
      <c r="V18" s="730">
        <f t="shared" si="98"/>
        <v>15</v>
      </c>
      <c r="W18" s="731">
        <f t="shared" si="0"/>
        <v>15</v>
      </c>
      <c r="X18" s="732" t="s">
        <v>422</v>
      </c>
      <c r="Y18" s="924">
        <f t="shared" si="69"/>
        <v>3786728.1232488346</v>
      </c>
      <c r="Z18" s="944">
        <f t="shared" si="70"/>
        <v>4.5376668624422516E-2</v>
      </c>
      <c r="AD18" s="730">
        <v>15</v>
      </c>
      <c r="AE18" s="746">
        <v>15</v>
      </c>
      <c r="AF18" s="747" t="s">
        <v>422</v>
      </c>
      <c r="AG18" s="748">
        <v>3.79</v>
      </c>
      <c r="AQ18" s="730">
        <f t="shared" si="71"/>
        <v>15</v>
      </c>
      <c r="AR18" s="783">
        <f t="shared" si="1"/>
        <v>15</v>
      </c>
      <c r="AS18" s="732" t="s">
        <v>422</v>
      </c>
      <c r="AT18" s="732">
        <f t="shared" si="2"/>
        <v>3.79</v>
      </c>
      <c r="AU18" s="784">
        <f t="shared" si="72"/>
        <v>94856813.789145559</v>
      </c>
      <c r="AV18" s="784">
        <f t="shared" si="99"/>
        <v>99863.145628017141</v>
      </c>
      <c r="AW18" s="785">
        <f t="shared" si="3"/>
        <v>103957.971275145</v>
      </c>
      <c r="AX18" s="786">
        <f t="shared" si="4"/>
        <v>18.238489259491555</v>
      </c>
      <c r="AY18" s="379">
        <f>AW18*AX18</f>
        <v>1896036.3425402637</v>
      </c>
      <c r="AZ18" s="51">
        <f t="shared" si="73"/>
        <v>5.2799299199374372E-2</v>
      </c>
      <c r="BA18" s="53">
        <f t="shared" si="5"/>
        <v>1.99884</v>
      </c>
      <c r="BL18" s="756">
        <f t="shared" si="100"/>
        <v>15</v>
      </c>
      <c r="BM18" s="758">
        <f t="shared" si="6"/>
        <v>15</v>
      </c>
      <c r="BN18" s="732" t="s">
        <v>422</v>
      </c>
      <c r="BO18" s="733">
        <f t="shared" si="7"/>
        <v>5.2799299199374372E-2</v>
      </c>
      <c r="BP18" s="379">
        <f t="shared" si="74"/>
        <v>414770.11834627413</v>
      </c>
      <c r="BQ18" s="733">
        <f t="shared" si="8"/>
        <v>4.3269365572616514E-2</v>
      </c>
      <c r="BR18" s="379">
        <f t="shared" si="75"/>
        <v>339906.78193575353</v>
      </c>
      <c r="BS18" s="807">
        <f t="shared" si="9"/>
        <v>754676.90028202767</v>
      </c>
      <c r="BT18" s="808">
        <f t="shared" si="10"/>
        <v>0.79559599999999997</v>
      </c>
      <c r="BW18" s="1"/>
      <c r="BX18" s="10"/>
      <c r="BY18" s="10"/>
      <c r="BZ18" s="10"/>
      <c r="CA18" s="10"/>
      <c r="CB18" s="10"/>
      <c r="CC18" s="10"/>
      <c r="CD18" s="10"/>
      <c r="CE18" s="10"/>
      <c r="CI18" s="730">
        <f t="shared" si="101"/>
        <v>15</v>
      </c>
      <c r="CJ18" s="746">
        <f t="shared" si="12"/>
        <v>15</v>
      </c>
      <c r="CK18" s="732" t="s">
        <v>422</v>
      </c>
      <c r="CL18" s="733">
        <f t="shared" si="13"/>
        <v>4.3269365572616514E-2</v>
      </c>
      <c r="CM18" s="379">
        <f t="shared" si="14"/>
        <v>231674.5733168076</v>
      </c>
      <c r="CN18" s="733">
        <f t="shared" si="15"/>
        <v>3.285516866879945E-2</v>
      </c>
      <c r="CO18" s="379">
        <f t="shared" si="16"/>
        <v>571716.99333293759</v>
      </c>
      <c r="CP18" s="379">
        <f t="shared" si="17"/>
        <v>803391.56664974522</v>
      </c>
      <c r="CQ18" s="733">
        <f t="shared" si="18"/>
        <v>3.5305584358940108E-2</v>
      </c>
      <c r="CR18" s="808">
        <f t="shared" si="19"/>
        <v>0.84695200000000004</v>
      </c>
      <c r="DE18" s="1"/>
      <c r="DH18" s="730">
        <v>15</v>
      </c>
      <c r="DI18" s="840">
        <f t="shared" si="20"/>
        <v>15</v>
      </c>
      <c r="DJ18" s="732" t="s">
        <v>422</v>
      </c>
      <c r="DK18" s="733">
        <f t="shared" si="21"/>
        <v>3.5305584358940108E-2</v>
      </c>
      <c r="DL18" s="379">
        <f t="shared" si="77"/>
        <v>11094.237966525989</v>
      </c>
      <c r="DM18" s="733">
        <f t="shared" si="22"/>
        <v>3.285516866879945E-2</v>
      </c>
      <c r="DN18" s="379">
        <f t="shared" si="23"/>
        <v>63894.217189226387</v>
      </c>
      <c r="DO18" s="733">
        <f t="shared" si="24"/>
        <v>4.3269365572616514E-2</v>
      </c>
      <c r="DP18" s="379">
        <f t="shared" si="25"/>
        <v>140100.65198707106</v>
      </c>
      <c r="DQ18" s="379">
        <f t="shared" si="78"/>
        <v>215089.10714282346</v>
      </c>
      <c r="DR18" s="733">
        <f t="shared" si="26"/>
        <v>3.9129665049693868E-2</v>
      </c>
      <c r="DS18" s="808">
        <f t="shared" si="27"/>
        <v>0.22675100000000001</v>
      </c>
      <c r="DW18" s="730">
        <f t="shared" si="102"/>
        <v>15</v>
      </c>
      <c r="DX18" s="840">
        <f t="shared" si="28"/>
        <v>15</v>
      </c>
      <c r="DY18" s="732" t="s">
        <v>422</v>
      </c>
      <c r="DZ18" s="733">
        <f t="shared" si="29"/>
        <v>3.285516866879945E-2</v>
      </c>
      <c r="EA18" s="379">
        <f t="shared" si="30"/>
        <v>117534.20663397471</v>
      </c>
      <c r="EB18" s="808">
        <f t="shared" si="31"/>
        <v>0.123907</v>
      </c>
      <c r="EN18" s="730">
        <f t="shared" si="103"/>
        <v>15</v>
      </c>
      <c r="EO18" s="840">
        <f t="shared" si="32"/>
        <v>15</v>
      </c>
      <c r="EP18" s="732" t="s">
        <v>422</v>
      </c>
      <c r="EQ18" s="733">
        <f t="shared" si="33"/>
        <v>4.5376668624422516E-2</v>
      </c>
      <c r="ER18" s="379">
        <f t="shared" si="34"/>
        <v>323048.91216505418</v>
      </c>
      <c r="ES18" s="733">
        <f t="shared" si="35"/>
        <v>3.5305584358940108E-2</v>
      </c>
      <c r="ET18" s="379">
        <f t="shared" si="36"/>
        <v>33888.932994059673</v>
      </c>
      <c r="EU18" s="733">
        <f t="shared" si="37"/>
        <v>4.3269365572616514E-2</v>
      </c>
      <c r="EV18" s="379">
        <f t="shared" si="38"/>
        <v>111274.10640987873</v>
      </c>
      <c r="EW18" s="379">
        <f t="shared" si="39"/>
        <v>468211.95156899258</v>
      </c>
      <c r="EX18" s="733">
        <f t="shared" si="40"/>
        <v>4.3960227273849677E-2</v>
      </c>
      <c r="EY18" s="808">
        <f t="shared" si="41"/>
        <v>0.49359900000000001</v>
      </c>
      <c r="FI18" s="730">
        <f t="shared" si="104"/>
        <v>15</v>
      </c>
      <c r="FJ18" s="731">
        <f t="shared" si="42"/>
        <v>15</v>
      </c>
      <c r="FK18" s="732" t="s">
        <v>422</v>
      </c>
      <c r="FL18" s="733">
        <f t="shared" si="43"/>
        <v>4.5376668624422516E-2</v>
      </c>
      <c r="FM18" s="379">
        <f t="shared" si="44"/>
        <v>852792.25524654426</v>
      </c>
      <c r="FN18" s="808">
        <f t="shared" si="45"/>
        <v>0.89903100000000002</v>
      </c>
      <c r="FR18" s="730">
        <f t="shared" si="105"/>
        <v>15</v>
      </c>
      <c r="FS18" s="731">
        <v>15</v>
      </c>
      <c r="FT18" s="732" t="s">
        <v>422</v>
      </c>
      <c r="FU18" s="379">
        <f t="shared" si="46"/>
        <v>1896036.3425402637</v>
      </c>
      <c r="FV18" s="379">
        <f t="shared" si="47"/>
        <v>754676.90028202767</v>
      </c>
      <c r="FW18" s="379">
        <f t="shared" si="48"/>
        <v>803391.56664974522</v>
      </c>
      <c r="FX18" s="379">
        <f t="shared" si="49"/>
        <v>215089.10714282346</v>
      </c>
      <c r="FY18" s="379">
        <f t="shared" si="50"/>
        <v>117534.20663397471</v>
      </c>
      <c r="FZ18" s="379">
        <f t="shared" si="51"/>
        <v>468211.95156899258</v>
      </c>
      <c r="GA18" s="379">
        <f t="shared" si="52"/>
        <v>852792.25524654426</v>
      </c>
      <c r="GB18" s="379">
        <f t="shared" si="53"/>
        <v>5107732.3300643712</v>
      </c>
      <c r="GC18" s="852">
        <f t="shared" si="54"/>
        <v>5.3846759999999998</v>
      </c>
      <c r="GG18" s="730">
        <f t="shared" si="79"/>
        <v>15</v>
      </c>
      <c r="GH18" s="731">
        <f t="shared" si="55"/>
        <v>15</v>
      </c>
      <c r="GI18" s="732" t="s">
        <v>422</v>
      </c>
      <c r="GJ18" s="808">
        <f t="shared" si="56"/>
        <v>1.99884</v>
      </c>
      <c r="GK18" s="808">
        <f t="shared" si="57"/>
        <v>0.79559599999999997</v>
      </c>
      <c r="GL18" s="808">
        <f t="shared" si="58"/>
        <v>0.84695200000000004</v>
      </c>
      <c r="GM18" s="808">
        <f t="shared" si="59"/>
        <v>0.22675100000000001</v>
      </c>
      <c r="GN18" s="808">
        <f t="shared" si="60"/>
        <v>0.123907</v>
      </c>
      <c r="GO18" s="808">
        <f t="shared" si="61"/>
        <v>0.49359900000000001</v>
      </c>
      <c r="GP18" s="808">
        <f t="shared" si="62"/>
        <v>0.89903100000000002</v>
      </c>
      <c r="GQ18" s="808">
        <f t="shared" si="63"/>
        <v>5.3846759999999998</v>
      </c>
      <c r="GR18" s="784">
        <f t="shared" si="80"/>
        <v>94856813.789145559</v>
      </c>
      <c r="GS18" s="716"/>
      <c r="GV18" s="717">
        <f t="shared" si="81"/>
        <v>15</v>
      </c>
      <c r="GW18" s="731">
        <v>15</v>
      </c>
      <c r="GX18" s="732" t="s">
        <v>422</v>
      </c>
      <c r="GY18" s="758" t="s">
        <v>397</v>
      </c>
      <c r="GZ18" s="906">
        <f t="shared" si="82"/>
        <v>5107732.3300643712</v>
      </c>
      <c r="HA18" s="784">
        <f t="shared" si="83"/>
        <v>94856813.789145559</v>
      </c>
      <c r="HB18" s="922">
        <f t="shared" si="109"/>
        <v>5.3846759999999998</v>
      </c>
      <c r="HC18" s="942">
        <f t="shared" si="85"/>
        <v>5107732.0864688111</v>
      </c>
      <c r="HD18" s="857">
        <v>-0.15500812418758869</v>
      </c>
      <c r="HE18" s="54"/>
      <c r="HH18" s="54"/>
      <c r="HI18" s="54"/>
      <c r="HJ18" s="54"/>
      <c r="HK18" s="54"/>
      <c r="HL18" s="54"/>
      <c r="HM18" s="54"/>
      <c r="HN18" s="54"/>
      <c r="HQ18" s="730">
        <v>15</v>
      </c>
      <c r="HR18" s="867">
        <v>15</v>
      </c>
      <c r="HS18" s="732" t="s">
        <v>422</v>
      </c>
      <c r="HT18" s="784">
        <f t="shared" si="86"/>
        <v>94856813.789145559</v>
      </c>
      <c r="HU18" s="917">
        <f t="shared" si="87"/>
        <v>5.3846759999999998</v>
      </c>
      <c r="HV18" s="868"/>
      <c r="HW18" s="765"/>
      <c r="HX18" s="868">
        <v>-1.348795</v>
      </c>
      <c r="HY18" s="766">
        <v>10</v>
      </c>
      <c r="IP18" s="730">
        <v>15</v>
      </c>
      <c r="IQ18" s="867">
        <v>15</v>
      </c>
      <c r="IR18" s="732" t="s">
        <v>422</v>
      </c>
      <c r="IS18" s="913">
        <f t="shared" si="106"/>
        <v>5107732.0864688111</v>
      </c>
      <c r="IT18" s="915">
        <f t="shared" si="88"/>
        <v>94856813.789145559</v>
      </c>
      <c r="IU18" s="918">
        <f t="shared" si="89"/>
        <v>5.3846759999999998</v>
      </c>
      <c r="IV18" s="904">
        <f t="shared" ref="IV18:IV22" si="114">IT18*$IK$4/(1-$IL$4)</f>
        <v>13944986.643195851</v>
      </c>
      <c r="IW18" s="904">
        <f t="shared" si="91"/>
        <v>80911827.145949706</v>
      </c>
      <c r="IX18" s="913">
        <f t="shared" ref="IX18:IX22" si="115">IV18*$II$4</f>
        <v>209174.79964793776</v>
      </c>
      <c r="IY18" s="881">
        <f t="shared" si="93"/>
        <v>4898557.2868208736</v>
      </c>
      <c r="IZ18" s="928">
        <f t="shared" ref="IZ18:IZ22" si="116">100*IY18/IT18</f>
        <v>5.1641596329703141</v>
      </c>
      <c r="JA18" s="928">
        <f t="shared" ref="JA18:JA22" si="117">IZ18+1.5</f>
        <v>6.6641596329703141</v>
      </c>
      <c r="JB18" s="913">
        <f t="shared" si="107"/>
        <v>5107732.0864688111</v>
      </c>
      <c r="JC18" s="852">
        <v>0.2222329163183332</v>
      </c>
      <c r="JG18" s="730">
        <v>15</v>
      </c>
      <c r="JH18" s="867">
        <v>15</v>
      </c>
      <c r="JI18" s="732" t="s">
        <v>422</v>
      </c>
      <c r="JJ18" s="784">
        <f t="shared" si="96"/>
        <v>94856813.789145559</v>
      </c>
      <c r="JK18" s="917">
        <f t="shared" si="97"/>
        <v>5.1641596329703141</v>
      </c>
      <c r="JL18" s="868">
        <v>6.5359999999999996</v>
      </c>
      <c r="JM18" s="765"/>
      <c r="JN18" s="868"/>
      <c r="JO18" s="766">
        <v>10</v>
      </c>
      <c r="JT18" s="936">
        <v>15.047708926540258</v>
      </c>
      <c r="JU18" s="936">
        <f t="shared" si="64"/>
        <v>-5.6915706430057611E-2</v>
      </c>
      <c r="JV18" s="13">
        <v>10481200</v>
      </c>
      <c r="JW18" s="13">
        <f t="shared" si="65"/>
        <v>-33579.033617064357</v>
      </c>
    </row>
    <row r="19" spans="3:294" x14ac:dyDescent="0.3">
      <c r="C19" s="3"/>
      <c r="J19" s="338">
        <v>16</v>
      </c>
      <c r="K19" s="759">
        <v>16</v>
      </c>
      <c r="L19" s="518" t="s">
        <v>423</v>
      </c>
      <c r="M19" s="904">
        <v>10447620.966382936</v>
      </c>
      <c r="N19" s="943">
        <f t="shared" si="66"/>
        <v>4.7657296603218352E-3</v>
      </c>
      <c r="O19" s="455">
        <v>286.98366108420379</v>
      </c>
      <c r="P19" s="948">
        <f t="shared" si="67"/>
        <v>36404.933043618475</v>
      </c>
      <c r="Q19" s="659">
        <f t="shared" si="68"/>
        <v>2.0774732065674449E-2</v>
      </c>
      <c r="R19" s="322" t="s">
        <v>397</v>
      </c>
      <c r="V19" s="734">
        <f t="shared" si="98"/>
        <v>16</v>
      </c>
      <c r="W19" s="735">
        <f t="shared" si="0"/>
        <v>16</v>
      </c>
      <c r="X19" s="518" t="s">
        <v>423</v>
      </c>
      <c r="Y19" s="924">
        <f t="shared" si="69"/>
        <v>1199932.6425862345</v>
      </c>
      <c r="Z19" s="943">
        <f t="shared" si="70"/>
        <v>1.4378889669942439E-2</v>
      </c>
      <c r="AD19" s="734">
        <v>16</v>
      </c>
      <c r="AE19" s="146">
        <v>16</v>
      </c>
      <c r="AF19" s="347" t="s">
        <v>423</v>
      </c>
      <c r="AG19" s="369">
        <v>9.5299999999999994</v>
      </c>
      <c r="AQ19" s="734">
        <f t="shared" si="71"/>
        <v>16</v>
      </c>
      <c r="AR19" s="787">
        <f t="shared" si="1"/>
        <v>16</v>
      </c>
      <c r="AS19" s="518" t="s">
        <v>423</v>
      </c>
      <c r="AT19" s="518">
        <f t="shared" si="2"/>
        <v>9.5299999999999994</v>
      </c>
      <c r="AU19" s="788">
        <f t="shared" si="72"/>
        <v>10447620.966382936</v>
      </c>
      <c r="AV19" s="788">
        <f t="shared" si="99"/>
        <v>27657.174391563713</v>
      </c>
      <c r="AW19" s="789">
        <f t="shared" si="3"/>
        <v>28791.239479474283</v>
      </c>
      <c r="AX19" s="790">
        <f t="shared" si="4"/>
        <v>18.238489259491555</v>
      </c>
      <c r="AY19" s="358">
        <f t="shared" si="108"/>
        <v>525108.71201384091</v>
      </c>
      <c r="AZ19" s="35">
        <f t="shared" si="73"/>
        <v>1.4622806206694917E-2</v>
      </c>
      <c r="BA19" s="55">
        <f t="shared" si="5"/>
        <v>5.0261079999999998</v>
      </c>
      <c r="BL19" s="338">
        <f t="shared" si="100"/>
        <v>16</v>
      </c>
      <c r="BM19" s="322">
        <f t="shared" si="6"/>
        <v>16</v>
      </c>
      <c r="BN19" s="518" t="s">
        <v>423</v>
      </c>
      <c r="BO19" s="659">
        <f t="shared" si="7"/>
        <v>1.4622806206694917E-2</v>
      </c>
      <c r="BP19" s="358">
        <f t="shared" si="74"/>
        <v>114870.90080501199</v>
      </c>
      <c r="BQ19" s="659">
        <f t="shared" si="8"/>
        <v>4.7657296603218352E-3</v>
      </c>
      <c r="BR19" s="358">
        <f t="shared" si="75"/>
        <v>37437.660824889477</v>
      </c>
      <c r="BS19" s="809">
        <f t="shared" si="9"/>
        <v>152308.56162990147</v>
      </c>
      <c r="BT19" s="810">
        <f t="shared" si="10"/>
        <v>1.45783</v>
      </c>
      <c r="BW19" s="1"/>
      <c r="BX19" s="10"/>
      <c r="BY19" s="10"/>
      <c r="BZ19" s="10"/>
      <c r="CA19" s="10"/>
      <c r="CB19" s="10"/>
      <c r="CC19" s="10"/>
      <c r="CD19" s="10"/>
      <c r="CE19" s="10"/>
      <c r="CI19" s="734">
        <f t="shared" si="101"/>
        <v>16</v>
      </c>
      <c r="CJ19" s="146">
        <f t="shared" si="12"/>
        <v>16</v>
      </c>
      <c r="CK19" s="518" t="s">
        <v>423</v>
      </c>
      <c r="CL19" s="344">
        <f t="shared" si="13"/>
        <v>4.7657296603218352E-3</v>
      </c>
      <c r="CM19" s="20">
        <f t="shared" si="14"/>
        <v>25516.860970502792</v>
      </c>
      <c r="CN19" s="344">
        <f t="shared" si="15"/>
        <v>2.0774732065674449E-2</v>
      </c>
      <c r="CO19" s="20">
        <f t="shared" si="16"/>
        <v>361503.77049087809</v>
      </c>
      <c r="CP19" s="20">
        <f t="shared" si="17"/>
        <v>387020.63146138086</v>
      </c>
      <c r="CQ19" s="344">
        <f t="shared" si="18"/>
        <v>1.700788273107072E-2</v>
      </c>
      <c r="CR19" s="342">
        <f t="shared" si="19"/>
        <v>3.7043900000000001</v>
      </c>
      <c r="DE19" s="1"/>
      <c r="DH19" s="734">
        <v>16</v>
      </c>
      <c r="DI19" s="745">
        <f t="shared" si="20"/>
        <v>16</v>
      </c>
      <c r="DJ19" s="518" t="s">
        <v>423</v>
      </c>
      <c r="DK19" s="344">
        <f t="shared" si="21"/>
        <v>1.700788273107072E-2</v>
      </c>
      <c r="DL19" s="20">
        <f t="shared" si="77"/>
        <v>5344.466088053472</v>
      </c>
      <c r="DM19" s="344">
        <f t="shared" si="22"/>
        <v>2.0774732065674449E-2</v>
      </c>
      <c r="DN19" s="20">
        <f t="shared" si="23"/>
        <v>40401.108758048344</v>
      </c>
      <c r="DO19" s="344">
        <f t="shared" si="24"/>
        <v>4.7657296603218352E-3</v>
      </c>
      <c r="DP19" s="20">
        <f t="shared" si="25"/>
        <v>15430.820946165237</v>
      </c>
      <c r="DQ19" s="20">
        <f t="shared" si="78"/>
        <v>61176.395792267052</v>
      </c>
      <c r="DR19" s="344">
        <f t="shared" si="26"/>
        <v>1.1129396128411897E-2</v>
      </c>
      <c r="DS19" s="342">
        <f t="shared" si="27"/>
        <v>0.58555299999999999</v>
      </c>
      <c r="DW19" s="734">
        <f t="shared" si="102"/>
        <v>16</v>
      </c>
      <c r="DX19" s="745">
        <f t="shared" si="28"/>
        <v>16</v>
      </c>
      <c r="DY19" s="518" t="s">
        <v>423</v>
      </c>
      <c r="DZ19" s="344">
        <f t="shared" si="29"/>
        <v>2.0774732065674449E-2</v>
      </c>
      <c r="EA19" s="20">
        <f t="shared" si="30"/>
        <v>74318.341688844055</v>
      </c>
      <c r="EB19" s="342">
        <f t="shared" si="31"/>
        <v>0.71134200000000003</v>
      </c>
      <c r="EN19" s="734">
        <f t="shared" si="103"/>
        <v>16</v>
      </c>
      <c r="EO19" s="745">
        <f t="shared" si="32"/>
        <v>16</v>
      </c>
      <c r="EP19" s="518" t="s">
        <v>423</v>
      </c>
      <c r="EQ19" s="344">
        <f t="shared" si="33"/>
        <v>1.4378889669942439E-2</v>
      </c>
      <c r="ER19" s="20">
        <f t="shared" si="34"/>
        <v>102367.24746065149</v>
      </c>
      <c r="ES19" s="344">
        <f t="shared" si="35"/>
        <v>1.700788273107072E-2</v>
      </c>
      <c r="ET19" s="20">
        <f t="shared" si="36"/>
        <v>16325.43431045432</v>
      </c>
      <c r="EU19" s="344">
        <f t="shared" si="37"/>
        <v>4.7657296603218352E-3</v>
      </c>
      <c r="EV19" s="20">
        <f t="shared" si="38"/>
        <v>12255.837411190856</v>
      </c>
      <c r="EW19" s="20">
        <f t="shared" si="39"/>
        <v>130948.51918229667</v>
      </c>
      <c r="EX19" s="344">
        <f t="shared" si="40"/>
        <v>1.2294702527642724E-2</v>
      </c>
      <c r="EY19" s="342">
        <f t="shared" si="41"/>
        <v>1.2533810000000001</v>
      </c>
      <c r="FI19" s="734">
        <f t="shared" si="104"/>
        <v>16</v>
      </c>
      <c r="FJ19" s="735">
        <f t="shared" si="42"/>
        <v>16</v>
      </c>
      <c r="FK19" s="518" t="s">
        <v>423</v>
      </c>
      <c r="FL19" s="344">
        <f t="shared" si="43"/>
        <v>1.4378889669942439E-2</v>
      </c>
      <c r="FM19" s="20">
        <f t="shared" si="44"/>
        <v>270231.5115079144</v>
      </c>
      <c r="FN19" s="342">
        <f t="shared" si="45"/>
        <v>2.5865360000000002</v>
      </c>
      <c r="FR19" s="734">
        <f t="shared" si="105"/>
        <v>16</v>
      </c>
      <c r="FS19" s="735">
        <v>16</v>
      </c>
      <c r="FT19" s="518" t="s">
        <v>423</v>
      </c>
      <c r="FU19" s="20">
        <f t="shared" si="46"/>
        <v>525108.71201384091</v>
      </c>
      <c r="FV19" s="20">
        <f t="shared" si="47"/>
        <v>152308.56162990147</v>
      </c>
      <c r="FW19" s="20">
        <f t="shared" si="48"/>
        <v>387020.63146138086</v>
      </c>
      <c r="FX19" s="20">
        <f t="shared" si="49"/>
        <v>61176.395792267052</v>
      </c>
      <c r="FY19" s="20">
        <f t="shared" si="50"/>
        <v>74318.341688844055</v>
      </c>
      <c r="FZ19" s="20">
        <f t="shared" si="51"/>
        <v>130948.51918229667</v>
      </c>
      <c r="GA19" s="20">
        <f t="shared" si="52"/>
        <v>270231.5115079144</v>
      </c>
      <c r="GB19" s="20">
        <f t="shared" si="53"/>
        <v>1601112.6732764456</v>
      </c>
      <c r="GC19" s="414">
        <f t="shared" si="54"/>
        <v>15.325141</v>
      </c>
      <c r="GG19" s="734">
        <f t="shared" si="79"/>
        <v>16</v>
      </c>
      <c r="GH19" s="735">
        <f t="shared" si="55"/>
        <v>16</v>
      </c>
      <c r="GI19" s="518" t="s">
        <v>423</v>
      </c>
      <c r="GJ19" s="342">
        <f t="shared" si="56"/>
        <v>5.0261079999999998</v>
      </c>
      <c r="GK19" s="342">
        <f t="shared" si="57"/>
        <v>1.45783</v>
      </c>
      <c r="GL19" s="342">
        <f t="shared" si="58"/>
        <v>3.7043900000000001</v>
      </c>
      <c r="GM19" s="342">
        <f t="shared" si="59"/>
        <v>0.58555299999999999</v>
      </c>
      <c r="GN19" s="342">
        <f t="shared" si="60"/>
        <v>0.71134200000000003</v>
      </c>
      <c r="GO19" s="342">
        <f t="shared" si="61"/>
        <v>1.2533810000000001</v>
      </c>
      <c r="GP19" s="342">
        <f t="shared" si="62"/>
        <v>2.5865360000000002</v>
      </c>
      <c r="GQ19" s="342">
        <f t="shared" si="63"/>
        <v>15.325141</v>
      </c>
      <c r="GR19" s="788">
        <f t="shared" si="80"/>
        <v>10447620.966382936</v>
      </c>
      <c r="GS19" s="716"/>
      <c r="GV19" s="718">
        <f t="shared" si="81"/>
        <v>16</v>
      </c>
      <c r="GW19" s="735">
        <v>16</v>
      </c>
      <c r="GX19" s="518" t="s">
        <v>423</v>
      </c>
      <c r="GY19" s="322" t="s">
        <v>397</v>
      </c>
      <c r="GZ19" s="924">
        <f t="shared" si="82"/>
        <v>1601112.6732764456</v>
      </c>
      <c r="HA19" s="788">
        <f t="shared" si="83"/>
        <v>10447620.966382936</v>
      </c>
      <c r="HB19" s="922">
        <f t="shared" si="109"/>
        <v>15.325141</v>
      </c>
      <c r="HC19" s="942">
        <f t="shared" si="85"/>
        <v>1601112.6442437477</v>
      </c>
      <c r="HD19" s="858">
        <v>4.8506769118830562E-2</v>
      </c>
      <c r="HE19" s="54"/>
      <c r="HH19" s="54"/>
      <c r="HI19" s="54"/>
      <c r="HJ19" s="54"/>
      <c r="HK19" s="54"/>
      <c r="HL19" s="54"/>
      <c r="HM19" s="54"/>
      <c r="HN19" s="54"/>
      <c r="HQ19" s="734">
        <v>16</v>
      </c>
      <c r="HR19" s="869">
        <v>16</v>
      </c>
      <c r="HS19" s="518" t="s">
        <v>423</v>
      </c>
      <c r="HT19" s="788">
        <f t="shared" si="86"/>
        <v>10447620.966382936</v>
      </c>
      <c r="HU19" s="917">
        <f t="shared" si="87"/>
        <v>15.325141</v>
      </c>
      <c r="HV19" s="870"/>
      <c r="HW19" s="768"/>
      <c r="HX19" s="870">
        <v>-2.936674</v>
      </c>
      <c r="HY19" s="769">
        <v>25</v>
      </c>
      <c r="IP19" s="734">
        <v>16</v>
      </c>
      <c r="IQ19" s="869">
        <v>16</v>
      </c>
      <c r="IR19" s="518" t="s">
        <v>423</v>
      </c>
      <c r="IS19" s="913">
        <f t="shared" si="106"/>
        <v>1601112.6442437477</v>
      </c>
      <c r="IT19" s="915">
        <f t="shared" si="88"/>
        <v>10447620.966382936</v>
      </c>
      <c r="IU19" s="919">
        <f t="shared" si="89"/>
        <v>15.325141</v>
      </c>
      <c r="IV19" s="904">
        <f t="shared" si="114"/>
        <v>1535914.2797399596</v>
      </c>
      <c r="IW19" s="904">
        <f t="shared" si="91"/>
        <v>8911706.6866429765</v>
      </c>
      <c r="IX19" s="913">
        <f t="shared" si="115"/>
        <v>23038.714196099394</v>
      </c>
      <c r="IY19" s="882">
        <f t="shared" si="93"/>
        <v>1578073.9300476483</v>
      </c>
      <c r="IZ19" s="928">
        <f t="shared" si="116"/>
        <v>15.104624632970316</v>
      </c>
      <c r="JA19" s="928">
        <f t="shared" si="117"/>
        <v>16.604624632970314</v>
      </c>
      <c r="JB19" s="913">
        <f t="shared" si="107"/>
        <v>1601112.6442437477</v>
      </c>
      <c r="JC19" s="883">
        <v>0.22223353732126583</v>
      </c>
      <c r="JG19" s="734">
        <v>16</v>
      </c>
      <c r="JH19" s="869">
        <v>16</v>
      </c>
      <c r="JI19" s="518" t="s">
        <v>423</v>
      </c>
      <c r="JJ19" s="788">
        <f t="shared" si="96"/>
        <v>10447620.966382936</v>
      </c>
      <c r="JK19" s="917">
        <f t="shared" si="97"/>
        <v>15.104624632970316</v>
      </c>
      <c r="JL19" s="870">
        <v>18.120999999999999</v>
      </c>
      <c r="JM19" s="768"/>
      <c r="JN19" s="870"/>
      <c r="JO19" s="769">
        <v>25</v>
      </c>
      <c r="JT19" s="936">
        <v>4.4647209265402585</v>
      </c>
      <c r="JU19" s="936">
        <f t="shared" si="64"/>
        <v>-1.6032706430055832E-2</v>
      </c>
      <c r="JV19" s="13">
        <v>538975887</v>
      </c>
      <c r="JW19" s="13">
        <f t="shared" si="65"/>
        <v>-1466127.4070734978</v>
      </c>
    </row>
    <row r="20" spans="3:294" x14ac:dyDescent="0.3">
      <c r="J20" s="756">
        <v>17</v>
      </c>
      <c r="K20" s="757">
        <v>17</v>
      </c>
      <c r="L20" s="732" t="s">
        <v>424</v>
      </c>
      <c r="M20" s="904">
        <v>537509759.5929265</v>
      </c>
      <c r="N20" s="944">
        <f t="shared" si="66"/>
        <v>0.24518751323836818</v>
      </c>
      <c r="O20" s="753">
        <v>1278.7476178425782</v>
      </c>
      <c r="P20" s="948">
        <f t="shared" si="67"/>
        <v>420340.77099574881</v>
      </c>
      <c r="Q20" s="733">
        <f t="shared" si="68"/>
        <v>0.23987042863814417</v>
      </c>
      <c r="R20" s="758" t="s">
        <v>397</v>
      </c>
      <c r="V20" s="730">
        <f t="shared" si="98"/>
        <v>17</v>
      </c>
      <c r="W20" s="731">
        <f t="shared" si="0"/>
        <v>17</v>
      </c>
      <c r="X20" s="732" t="s">
        <v>424</v>
      </c>
      <c r="Y20" s="924">
        <f t="shared" si="69"/>
        <v>18624566.655915841</v>
      </c>
      <c r="Z20" s="944">
        <f t="shared" si="70"/>
        <v>0.22317968491856982</v>
      </c>
      <c r="AD20" s="730">
        <v>17</v>
      </c>
      <c r="AE20" s="746">
        <v>17</v>
      </c>
      <c r="AF20" s="747" t="s">
        <v>424</v>
      </c>
      <c r="AG20" s="748">
        <v>2.61</v>
      </c>
      <c r="AQ20" s="730">
        <f t="shared" si="71"/>
        <v>17</v>
      </c>
      <c r="AR20" s="783">
        <f t="shared" si="1"/>
        <v>17</v>
      </c>
      <c r="AS20" s="732" t="s">
        <v>424</v>
      </c>
      <c r="AT20" s="732">
        <f t="shared" si="2"/>
        <v>2.61</v>
      </c>
      <c r="AU20" s="784">
        <f t="shared" si="72"/>
        <v>537509759.5929265</v>
      </c>
      <c r="AV20" s="784">
        <f t="shared" si="99"/>
        <v>389694.57570487168</v>
      </c>
      <c r="AW20" s="785">
        <f t="shared" si="3"/>
        <v>405673.75734498247</v>
      </c>
      <c r="AX20" s="786">
        <f t="shared" si="4"/>
        <v>18.238489259491555</v>
      </c>
      <c r="AY20" s="379">
        <f t="shared" si="108"/>
        <v>7398876.4661940457</v>
      </c>
      <c r="AZ20" s="51">
        <f t="shared" si="73"/>
        <v>0.20603797696957557</v>
      </c>
      <c r="BA20" s="53">
        <f t="shared" si="5"/>
        <v>1.3765099999999999</v>
      </c>
      <c r="BL20" s="756">
        <f t="shared" si="100"/>
        <v>17</v>
      </c>
      <c r="BM20" s="758">
        <f t="shared" si="6"/>
        <v>17</v>
      </c>
      <c r="BN20" s="732" t="s">
        <v>424</v>
      </c>
      <c r="BO20" s="733">
        <f t="shared" si="7"/>
        <v>0.20603797696957557</v>
      </c>
      <c r="BP20" s="379">
        <f t="shared" si="74"/>
        <v>1618551.7116202628</v>
      </c>
      <c r="BQ20" s="733">
        <f t="shared" si="8"/>
        <v>0.24518751323836818</v>
      </c>
      <c r="BR20" s="379">
        <f t="shared" si="75"/>
        <v>1926094.7668811416</v>
      </c>
      <c r="BS20" s="807">
        <f t="shared" si="9"/>
        <v>3544646.4785014046</v>
      </c>
      <c r="BT20" s="808">
        <f t="shared" si="10"/>
        <v>0.65945699999999996</v>
      </c>
      <c r="BW20" s="1"/>
      <c r="BX20" s="10"/>
      <c r="BY20" s="10"/>
      <c r="BZ20" s="10"/>
      <c r="CA20" s="10"/>
      <c r="CB20" s="10"/>
      <c r="CC20" s="10"/>
      <c r="CD20" s="10"/>
      <c r="CE20" s="10"/>
      <c r="CI20" s="730">
        <f t="shared" si="101"/>
        <v>17</v>
      </c>
      <c r="CJ20" s="746">
        <f t="shared" si="12"/>
        <v>17</v>
      </c>
      <c r="CK20" s="732" t="s">
        <v>424</v>
      </c>
      <c r="CL20" s="733">
        <f t="shared" si="13"/>
        <v>0.24518751323836818</v>
      </c>
      <c r="CM20" s="379">
        <f t="shared" si="14"/>
        <v>1312792.8214426353</v>
      </c>
      <c r="CN20" s="733">
        <f t="shared" si="15"/>
        <v>0.23987042863814417</v>
      </c>
      <c r="CO20" s="379">
        <f t="shared" si="16"/>
        <v>4174016.0165640651</v>
      </c>
      <c r="CP20" s="379">
        <f t="shared" si="17"/>
        <v>5486808.8380067004</v>
      </c>
      <c r="CQ20" s="733">
        <f t="shared" si="18"/>
        <v>0.24112151575033605</v>
      </c>
      <c r="CR20" s="808">
        <f t="shared" si="19"/>
        <v>1.020783</v>
      </c>
      <c r="DE20" s="1"/>
      <c r="DH20" s="730">
        <v>17</v>
      </c>
      <c r="DI20" s="840">
        <f t="shared" si="20"/>
        <v>17</v>
      </c>
      <c r="DJ20" s="732" t="s">
        <v>424</v>
      </c>
      <c r="DK20" s="733">
        <f t="shared" si="21"/>
        <v>0.24112151575033605</v>
      </c>
      <c r="DL20" s="379">
        <f t="shared" si="77"/>
        <v>75768.735262592862</v>
      </c>
      <c r="DM20" s="733">
        <f t="shared" si="22"/>
        <v>0.23987042863814417</v>
      </c>
      <c r="DN20" s="379">
        <f t="shared" si="23"/>
        <v>466481.64917908021</v>
      </c>
      <c r="DO20" s="733">
        <f t="shared" si="24"/>
        <v>0.24518751323836818</v>
      </c>
      <c r="DP20" s="379">
        <f t="shared" si="25"/>
        <v>793885.69740258367</v>
      </c>
      <c r="DQ20" s="379">
        <f t="shared" si="78"/>
        <v>1336136.0818442567</v>
      </c>
      <c r="DR20" s="733">
        <f t="shared" si="26"/>
        <v>0.24307394287828557</v>
      </c>
      <c r="DS20" s="808">
        <f t="shared" si="27"/>
        <v>0.24857899999999999</v>
      </c>
      <c r="DW20" s="730">
        <f t="shared" si="102"/>
        <v>17</v>
      </c>
      <c r="DX20" s="840">
        <f t="shared" si="28"/>
        <v>17</v>
      </c>
      <c r="DY20" s="732" t="s">
        <v>424</v>
      </c>
      <c r="DZ20" s="733">
        <f t="shared" si="29"/>
        <v>0.23987042863814417</v>
      </c>
      <c r="EA20" s="379">
        <f t="shared" si="30"/>
        <v>858098.79136943456</v>
      </c>
      <c r="EB20" s="808">
        <f t="shared" si="31"/>
        <v>0.15964300000000001</v>
      </c>
      <c r="EN20" s="730">
        <f t="shared" si="103"/>
        <v>17</v>
      </c>
      <c r="EO20" s="840">
        <f t="shared" si="32"/>
        <v>17</v>
      </c>
      <c r="EP20" s="732" t="s">
        <v>424</v>
      </c>
      <c r="EQ20" s="733">
        <f t="shared" si="33"/>
        <v>0.22317968491856982</v>
      </c>
      <c r="ER20" s="379">
        <f t="shared" si="34"/>
        <v>1588877.2053107298</v>
      </c>
      <c r="ES20" s="733">
        <f t="shared" si="35"/>
        <v>0.24112151575033605</v>
      </c>
      <c r="ET20" s="379">
        <f t="shared" si="36"/>
        <v>231446.41390477613</v>
      </c>
      <c r="EU20" s="733">
        <f t="shared" si="37"/>
        <v>0.24518751323836818</v>
      </c>
      <c r="EV20" s="379">
        <f t="shared" si="38"/>
        <v>630538.97549461841</v>
      </c>
      <c r="EW20" s="379">
        <f t="shared" si="39"/>
        <v>2450862.5947101242</v>
      </c>
      <c r="EX20" s="733">
        <f t="shared" si="40"/>
        <v>0.23011047949415292</v>
      </c>
      <c r="EY20" s="808">
        <f t="shared" si="41"/>
        <v>0.45596599999999998</v>
      </c>
      <c r="FI20" s="730">
        <f t="shared" si="104"/>
        <v>17</v>
      </c>
      <c r="FJ20" s="731">
        <f t="shared" si="42"/>
        <v>17</v>
      </c>
      <c r="FK20" s="732" t="s">
        <v>424</v>
      </c>
      <c r="FL20" s="733">
        <f t="shared" si="43"/>
        <v>0.22317968491856982</v>
      </c>
      <c r="FM20" s="379">
        <f t="shared" si="44"/>
        <v>4194356.0996561032</v>
      </c>
      <c r="FN20" s="808">
        <f t="shared" si="45"/>
        <v>0.780331</v>
      </c>
      <c r="FR20" s="730">
        <f t="shared" si="105"/>
        <v>17</v>
      </c>
      <c r="FS20" s="731">
        <v>17</v>
      </c>
      <c r="FT20" s="732" t="s">
        <v>424</v>
      </c>
      <c r="FU20" s="379">
        <f t="shared" si="46"/>
        <v>7398876.4661940457</v>
      </c>
      <c r="FV20" s="379">
        <f t="shared" si="47"/>
        <v>3544646.4785014046</v>
      </c>
      <c r="FW20" s="379">
        <f t="shared" si="48"/>
        <v>5486808.8380067004</v>
      </c>
      <c r="FX20" s="379">
        <f t="shared" si="49"/>
        <v>1336136.0818442567</v>
      </c>
      <c r="FY20" s="379">
        <f t="shared" si="50"/>
        <v>858098.79136943456</v>
      </c>
      <c r="FZ20" s="379">
        <f t="shared" si="51"/>
        <v>2450862.5947101242</v>
      </c>
      <c r="GA20" s="379">
        <f t="shared" si="52"/>
        <v>4194356.0996561032</v>
      </c>
      <c r="GB20" s="379">
        <f t="shared" si="53"/>
        <v>25269785.350282066</v>
      </c>
      <c r="GC20" s="852">
        <f t="shared" si="54"/>
        <v>4.7012700000000001</v>
      </c>
      <c r="GG20" s="730">
        <f t="shared" si="79"/>
        <v>17</v>
      </c>
      <c r="GH20" s="731">
        <f t="shared" si="55"/>
        <v>17</v>
      </c>
      <c r="GI20" s="732" t="s">
        <v>424</v>
      </c>
      <c r="GJ20" s="808">
        <f t="shared" si="56"/>
        <v>1.3765099999999999</v>
      </c>
      <c r="GK20" s="808">
        <f t="shared" si="57"/>
        <v>0.65945699999999996</v>
      </c>
      <c r="GL20" s="808">
        <f t="shared" si="58"/>
        <v>1.020783</v>
      </c>
      <c r="GM20" s="808">
        <f t="shared" si="59"/>
        <v>0.24857899999999999</v>
      </c>
      <c r="GN20" s="808">
        <f t="shared" si="60"/>
        <v>0.15964300000000001</v>
      </c>
      <c r="GO20" s="808">
        <f t="shared" si="61"/>
        <v>0.45596599999999998</v>
      </c>
      <c r="GP20" s="808">
        <f t="shared" si="62"/>
        <v>0.780331</v>
      </c>
      <c r="GQ20" s="808">
        <f t="shared" si="63"/>
        <v>4.7012700000000001</v>
      </c>
      <c r="GR20" s="784">
        <f t="shared" si="80"/>
        <v>537509759.5929265</v>
      </c>
      <c r="GS20" s="716"/>
      <c r="GV20" s="717">
        <f t="shared" si="81"/>
        <v>17</v>
      </c>
      <c r="GW20" s="731">
        <v>17</v>
      </c>
      <c r="GX20" s="732" t="s">
        <v>424</v>
      </c>
      <c r="GY20" s="758" t="s">
        <v>397</v>
      </c>
      <c r="GZ20" s="906">
        <f t="shared" si="82"/>
        <v>25269785.350282066</v>
      </c>
      <c r="HA20" s="784">
        <f t="shared" si="83"/>
        <v>537509759.5929265</v>
      </c>
      <c r="HB20" s="922">
        <f t="shared" si="109"/>
        <v>4.7012700000000001</v>
      </c>
      <c r="HC20" s="942">
        <f t="shared" si="85"/>
        <v>25269785.074814375</v>
      </c>
      <c r="HD20" s="857">
        <v>0.65198250114917755</v>
      </c>
      <c r="HE20" s="54"/>
      <c r="HH20" s="54"/>
      <c r="HI20" s="54"/>
      <c r="HJ20" s="54"/>
      <c r="HK20" s="54"/>
      <c r="HL20" s="54"/>
      <c r="HM20" s="54"/>
      <c r="HN20" s="54"/>
      <c r="HQ20" s="730">
        <v>17</v>
      </c>
      <c r="HR20" s="867">
        <v>17</v>
      </c>
      <c r="HS20" s="732" t="s">
        <v>424</v>
      </c>
      <c r="HT20" s="784">
        <f t="shared" si="86"/>
        <v>537509759.5929265</v>
      </c>
      <c r="HU20" s="917">
        <f t="shared" si="87"/>
        <v>4.7012700000000001</v>
      </c>
      <c r="HV20" s="868"/>
      <c r="HW20" s="765"/>
      <c r="HX20" s="868">
        <v>-0.96015999999999924</v>
      </c>
      <c r="HY20" s="766">
        <v>10</v>
      </c>
      <c r="IP20" s="730">
        <v>17</v>
      </c>
      <c r="IQ20" s="867">
        <v>17</v>
      </c>
      <c r="IR20" s="732" t="s">
        <v>424</v>
      </c>
      <c r="IS20" s="913">
        <f t="shared" si="106"/>
        <v>25269785.074814375</v>
      </c>
      <c r="IT20" s="915">
        <f t="shared" si="88"/>
        <v>537509759.5929265</v>
      </c>
      <c r="IU20" s="918">
        <f t="shared" si="89"/>
        <v>4.7012700000000001</v>
      </c>
      <c r="IV20" s="904">
        <f t="shared" si="114"/>
        <v>79019799.618954614</v>
      </c>
      <c r="IW20" s="904">
        <f t="shared" si="91"/>
        <v>458489959.9739719</v>
      </c>
      <c r="IX20" s="913">
        <f t="shared" si="115"/>
        <v>1185296.9942843192</v>
      </c>
      <c r="IY20" s="881">
        <f t="shared" si="93"/>
        <v>24084488.080530055</v>
      </c>
      <c r="IZ20" s="928">
        <f t="shared" si="116"/>
        <v>4.4807536329703144</v>
      </c>
      <c r="JA20" s="928">
        <f t="shared" si="117"/>
        <v>5.9807536329703144</v>
      </c>
      <c r="JB20" s="913">
        <f t="shared" si="107"/>
        <v>25269785.074814375</v>
      </c>
      <c r="JC20" s="852">
        <v>0.22223321089288017</v>
      </c>
      <c r="JG20" s="730">
        <v>17</v>
      </c>
      <c r="JH20" s="867">
        <v>17</v>
      </c>
      <c r="JI20" s="732" t="s">
        <v>424</v>
      </c>
      <c r="JJ20" s="784">
        <f t="shared" si="96"/>
        <v>537509759.5929265</v>
      </c>
      <c r="JK20" s="917">
        <f t="shared" si="97"/>
        <v>4.4807536329703144</v>
      </c>
      <c r="JL20" s="868">
        <v>5.4630000000000001</v>
      </c>
      <c r="JM20" s="765"/>
      <c r="JN20" s="868"/>
      <c r="JO20" s="766">
        <v>10</v>
      </c>
      <c r="JT20" s="936">
        <v>12.928700926540257</v>
      </c>
      <c r="JU20" s="936">
        <f t="shared" si="64"/>
        <v>-4.7804706430055077E-2</v>
      </c>
      <c r="JV20" s="13">
        <v>54165023</v>
      </c>
      <c r="JW20" s="13">
        <f t="shared" si="65"/>
        <v>-304845.37893735617</v>
      </c>
    </row>
    <row r="21" spans="3:294" x14ac:dyDescent="0.3">
      <c r="J21" s="338">
        <v>18</v>
      </c>
      <c r="K21" s="759">
        <v>18</v>
      </c>
      <c r="L21" s="518" t="s">
        <v>425</v>
      </c>
      <c r="M21" s="904">
        <v>53860177.621062644</v>
      </c>
      <c r="N21" s="943">
        <f t="shared" si="66"/>
        <v>2.4568564156837579E-2</v>
      </c>
      <c r="O21" s="455">
        <v>358.03166090709647</v>
      </c>
      <c r="P21" s="948">
        <f t="shared" si="67"/>
        <v>150434.1193865492</v>
      </c>
      <c r="Q21" s="659">
        <f t="shared" si="68"/>
        <v>8.5846292315570449E-2</v>
      </c>
      <c r="R21" s="322" t="s">
        <v>397</v>
      </c>
      <c r="V21" s="734">
        <f t="shared" si="98"/>
        <v>18</v>
      </c>
      <c r="W21" s="735">
        <f t="shared" si="0"/>
        <v>18</v>
      </c>
      <c r="X21" s="518" t="s">
        <v>425</v>
      </c>
      <c r="Y21" s="924">
        <f t="shared" si="69"/>
        <v>5323241.7241583103</v>
      </c>
      <c r="Z21" s="943">
        <f t="shared" si="70"/>
        <v>6.3788835074220188E-2</v>
      </c>
      <c r="AD21" s="734">
        <v>18</v>
      </c>
      <c r="AE21" s="146">
        <v>18</v>
      </c>
      <c r="AF21" s="347" t="s">
        <v>425</v>
      </c>
      <c r="AG21" s="369">
        <v>8.4600000000000009</v>
      </c>
      <c r="AQ21" s="734">
        <f t="shared" si="71"/>
        <v>18</v>
      </c>
      <c r="AR21" s="787">
        <f t="shared" si="1"/>
        <v>18</v>
      </c>
      <c r="AS21" s="518" t="s">
        <v>425</v>
      </c>
      <c r="AT21" s="518">
        <f t="shared" si="2"/>
        <v>8.4600000000000009</v>
      </c>
      <c r="AU21" s="788">
        <f t="shared" si="72"/>
        <v>53860177.621062644</v>
      </c>
      <c r="AV21" s="788">
        <f>AU21*AT21/3600</f>
        <v>126571.41740949721</v>
      </c>
      <c r="AW21" s="789">
        <f t="shared" si="3"/>
        <v>131761.39898821013</v>
      </c>
      <c r="AX21" s="790">
        <f t="shared" si="4"/>
        <v>18.238489259491555</v>
      </c>
      <c r="AY21" s="358">
        <f t="shared" si="108"/>
        <v>2403128.8602620517</v>
      </c>
      <c r="AZ21" s="35">
        <f t="shared" si="73"/>
        <v>6.6920404878754655E-2</v>
      </c>
      <c r="BA21" s="55">
        <f t="shared" si="5"/>
        <v>4.461792</v>
      </c>
      <c r="BL21" s="338">
        <f t="shared" si="100"/>
        <v>18</v>
      </c>
      <c r="BM21" s="322">
        <f t="shared" si="6"/>
        <v>18</v>
      </c>
      <c r="BN21" s="518" t="s">
        <v>425</v>
      </c>
      <c r="BO21" s="659">
        <f t="shared" si="7"/>
        <v>6.6920404878754655E-2</v>
      </c>
      <c r="BP21" s="358">
        <f t="shared" si="74"/>
        <v>525699.861025249</v>
      </c>
      <c r="BQ21" s="659">
        <f t="shared" si="8"/>
        <v>2.4568564156837579E-2</v>
      </c>
      <c r="BR21" s="358">
        <f t="shared" si="75"/>
        <v>193000.78632578324</v>
      </c>
      <c r="BS21" s="809">
        <f t="shared" si="9"/>
        <v>718700.64735103224</v>
      </c>
      <c r="BT21" s="810">
        <f>IF($AU21=0,0,ROUND(IF(VLOOKUP(BM21,$AR$4:$AU$27,$BA$30,FALSE)&lt;&gt;0,BS21/VLOOKUP(BM21,$AR$4:$AU$27,$BA$30,FALSE)*100,""),6))</f>
        <v>1.334382</v>
      </c>
      <c r="BW21" s="1"/>
      <c r="BX21" s="10"/>
      <c r="BY21" s="10"/>
      <c r="BZ21" s="10"/>
      <c r="CA21" s="10"/>
      <c r="CB21" s="10"/>
      <c r="CC21" s="10"/>
      <c r="CD21" s="10"/>
      <c r="CE21" s="10"/>
      <c r="CI21" s="734">
        <f t="shared" si="101"/>
        <v>18</v>
      </c>
      <c r="CJ21" s="146">
        <f t="shared" si="12"/>
        <v>18</v>
      </c>
      <c r="CK21" s="518" t="s">
        <v>425</v>
      </c>
      <c r="CL21" s="344">
        <f t="shared" si="13"/>
        <v>2.4568564156837579E-2</v>
      </c>
      <c r="CM21" s="20">
        <f t="shared" si="14"/>
        <v>131545.9920134384</v>
      </c>
      <c r="CN21" s="344">
        <f t="shared" si="15"/>
        <v>8.5846292315570449E-2</v>
      </c>
      <c r="CO21" s="20">
        <f t="shared" si="16"/>
        <v>1493822.315331666</v>
      </c>
      <c r="CP21" s="20">
        <f t="shared" si="17"/>
        <v>1625368.3073451044</v>
      </c>
      <c r="CQ21" s="344">
        <f t="shared" si="18"/>
        <v>7.1427906728747423E-2</v>
      </c>
      <c r="CR21" s="342">
        <f t="shared" si="19"/>
        <v>3.0177550000000002</v>
      </c>
      <c r="DE21" s="1"/>
      <c r="DH21" s="734">
        <v>18</v>
      </c>
      <c r="DI21" s="745">
        <f t="shared" si="20"/>
        <v>18</v>
      </c>
      <c r="DJ21" s="518" t="s">
        <v>425</v>
      </c>
      <c r="DK21" s="344">
        <f t="shared" si="21"/>
        <v>7.1427906728747423E-2</v>
      </c>
      <c r="DL21" s="20">
        <f t="shared" si="77"/>
        <v>22445.123316557849</v>
      </c>
      <c r="DM21" s="344">
        <f t="shared" si="22"/>
        <v>8.5846292315570449E-2</v>
      </c>
      <c r="DN21" s="20">
        <f t="shared" si="23"/>
        <v>166947.29835034211</v>
      </c>
      <c r="DO21" s="344">
        <f t="shared" si="24"/>
        <v>2.4568564156837579E-2</v>
      </c>
      <c r="DP21" s="20">
        <f t="shared" si="25"/>
        <v>79549.857299906478</v>
      </c>
      <c r="DQ21" s="20">
        <f t="shared" si="78"/>
        <v>268942.27896680642</v>
      </c>
      <c r="DR21" s="344">
        <f t="shared" si="26"/>
        <v>4.8926797983705278E-2</v>
      </c>
      <c r="DS21" s="342">
        <f t="shared" si="27"/>
        <v>0.499334</v>
      </c>
      <c r="DW21" s="734">
        <f t="shared" si="102"/>
        <v>18</v>
      </c>
      <c r="DX21" s="745">
        <f t="shared" si="28"/>
        <v>18</v>
      </c>
      <c r="DY21" s="518" t="s">
        <v>425</v>
      </c>
      <c r="DZ21" s="344">
        <f t="shared" si="29"/>
        <v>8.5846292315570449E-2</v>
      </c>
      <c r="EA21" s="20">
        <f t="shared" si="30"/>
        <v>307101.63023331523</v>
      </c>
      <c r="EB21" s="342">
        <f t="shared" si="31"/>
        <v>0.570183</v>
      </c>
      <c r="EN21" s="734">
        <f t="shared" si="103"/>
        <v>18</v>
      </c>
      <c r="EO21" s="745">
        <f t="shared" si="32"/>
        <v>18</v>
      </c>
      <c r="EP21" s="518" t="s">
        <v>425</v>
      </c>
      <c r="EQ21" s="344">
        <f t="shared" si="33"/>
        <v>6.3788835074220188E-2</v>
      </c>
      <c r="ER21" s="20">
        <f t="shared" si="34"/>
        <v>454130.15991905326</v>
      </c>
      <c r="ES21" s="344">
        <f t="shared" si="35"/>
        <v>7.1427906728747423E-2</v>
      </c>
      <c r="ET21" s="20">
        <f t="shared" si="36"/>
        <v>68561.832044100272</v>
      </c>
      <c r="EU21" s="344">
        <f t="shared" si="37"/>
        <v>2.4568564156837579E-2</v>
      </c>
      <c r="EV21" s="20">
        <f t="shared" si="38"/>
        <v>63181.999230791138</v>
      </c>
      <c r="EW21" s="20">
        <f t="shared" si="39"/>
        <v>585873.9911939447</v>
      </c>
      <c r="EX21" s="344">
        <f t="shared" si="40"/>
        <v>5.500746770862406E-2</v>
      </c>
      <c r="EY21" s="342">
        <f t="shared" si="41"/>
        <v>1.0877680000000001</v>
      </c>
      <c r="FI21" s="734">
        <f t="shared" si="104"/>
        <v>18</v>
      </c>
      <c r="FJ21" s="735">
        <f t="shared" si="42"/>
        <v>18</v>
      </c>
      <c r="FK21" s="518" t="s">
        <v>425</v>
      </c>
      <c r="FL21" s="344">
        <f t="shared" si="43"/>
        <v>6.3788835074220188E-2</v>
      </c>
      <c r="FM21" s="20">
        <f t="shared" si="44"/>
        <v>1198823.6724195264</v>
      </c>
      <c r="FN21" s="342">
        <f t="shared" si="45"/>
        <v>2.2258070000000001</v>
      </c>
      <c r="FR21" s="734">
        <f t="shared" si="105"/>
        <v>18</v>
      </c>
      <c r="FS21" s="735">
        <v>18</v>
      </c>
      <c r="FT21" s="518" t="s">
        <v>425</v>
      </c>
      <c r="FU21" s="20">
        <f t="shared" si="46"/>
        <v>2403128.8602620517</v>
      </c>
      <c r="FV21" s="20">
        <f t="shared" si="47"/>
        <v>718700.64735103224</v>
      </c>
      <c r="FW21" s="20">
        <f t="shared" si="48"/>
        <v>1625368.3073451044</v>
      </c>
      <c r="FX21" s="20">
        <f t="shared" si="49"/>
        <v>268942.27896680642</v>
      </c>
      <c r="FY21" s="20">
        <f t="shared" si="50"/>
        <v>307101.63023331523</v>
      </c>
      <c r="FZ21" s="20">
        <f t="shared" si="51"/>
        <v>585873.9911939447</v>
      </c>
      <c r="GA21" s="20">
        <f t="shared" si="52"/>
        <v>1198823.6724195264</v>
      </c>
      <c r="GB21" s="20">
        <f t="shared" si="53"/>
        <v>7107939.3877717815</v>
      </c>
      <c r="GC21" s="414">
        <f t="shared" si="54"/>
        <v>13.197022</v>
      </c>
      <c r="GG21" s="734">
        <f t="shared" si="79"/>
        <v>18</v>
      </c>
      <c r="GH21" s="735">
        <f t="shared" si="55"/>
        <v>18</v>
      </c>
      <c r="GI21" s="518" t="s">
        <v>425</v>
      </c>
      <c r="GJ21" s="342">
        <f t="shared" si="56"/>
        <v>4.461792</v>
      </c>
      <c r="GK21" s="342">
        <f t="shared" si="57"/>
        <v>1.334382</v>
      </c>
      <c r="GL21" s="342">
        <f t="shared" si="58"/>
        <v>3.0177550000000002</v>
      </c>
      <c r="GM21" s="342">
        <f t="shared" si="59"/>
        <v>0.499334</v>
      </c>
      <c r="GN21" s="342">
        <f t="shared" si="60"/>
        <v>0.570183</v>
      </c>
      <c r="GO21" s="342">
        <f t="shared" si="61"/>
        <v>1.0877680000000001</v>
      </c>
      <c r="GP21" s="342">
        <f t="shared" si="62"/>
        <v>2.2258070000000001</v>
      </c>
      <c r="GQ21" s="342">
        <f t="shared" si="63"/>
        <v>13.197022</v>
      </c>
      <c r="GR21" s="788">
        <f t="shared" si="80"/>
        <v>53860177.621062644</v>
      </c>
      <c r="GS21" s="716"/>
      <c r="GV21" s="718">
        <f t="shared" si="81"/>
        <v>18</v>
      </c>
      <c r="GW21" s="735">
        <v>18</v>
      </c>
      <c r="GX21" s="518" t="s">
        <v>425</v>
      </c>
      <c r="GY21" s="322" t="s">
        <v>397</v>
      </c>
      <c r="GZ21" s="924">
        <f t="shared" si="82"/>
        <v>7107939.3877717815</v>
      </c>
      <c r="HA21" s="788">
        <f t="shared" si="83"/>
        <v>53860177.621062644</v>
      </c>
      <c r="HB21" s="922">
        <f t="shared" si="109"/>
        <v>13.197022</v>
      </c>
      <c r="HC21" s="942">
        <f t="shared" si="85"/>
        <v>7107939.4898907132</v>
      </c>
      <c r="HD21" s="858">
        <v>-0.1446945620700717</v>
      </c>
      <c r="HE21" s="54"/>
      <c r="HH21" s="54"/>
      <c r="HI21" s="54"/>
      <c r="HJ21" s="54"/>
      <c r="HK21" s="54"/>
      <c r="HL21" s="54"/>
      <c r="HM21" s="54"/>
      <c r="HN21" s="54"/>
      <c r="HQ21" s="734">
        <v>18</v>
      </c>
      <c r="HR21" s="869">
        <v>18</v>
      </c>
      <c r="HS21" s="518" t="s">
        <v>425</v>
      </c>
      <c r="HT21" s="788">
        <f t="shared" si="86"/>
        <v>53860177.621062644</v>
      </c>
      <c r="HU21" s="917">
        <f t="shared" si="87"/>
        <v>13.197022</v>
      </c>
      <c r="HV21" s="870"/>
      <c r="HW21" s="768"/>
      <c r="HX21" s="870">
        <v>-2.6237379999999995</v>
      </c>
      <c r="HY21" s="769">
        <v>25</v>
      </c>
      <c r="IP21" s="734">
        <v>18</v>
      </c>
      <c r="IQ21" s="869">
        <v>18</v>
      </c>
      <c r="IR21" s="518" t="s">
        <v>425</v>
      </c>
      <c r="IS21" s="913">
        <f t="shared" si="106"/>
        <v>7107939.4898907132</v>
      </c>
      <c r="IT21" s="915">
        <f t="shared" si="88"/>
        <v>53860177.621062644</v>
      </c>
      <c r="IU21" s="919">
        <f t="shared" si="89"/>
        <v>13.197022</v>
      </c>
      <c r="IV21" s="904">
        <f t="shared" si="114"/>
        <v>7918033.7977135424</v>
      </c>
      <c r="IW21" s="904">
        <f t="shared" si="91"/>
        <v>45942143.823349103</v>
      </c>
      <c r="IX21" s="913">
        <f t="shared" si="115"/>
        <v>118770.50696570313</v>
      </c>
      <c r="IY21" s="882">
        <f t="shared" si="93"/>
        <v>6989168.9829250099</v>
      </c>
      <c r="IZ21" s="928">
        <f t="shared" si="116"/>
        <v>12.976505632970312</v>
      </c>
      <c r="JA21" s="928">
        <f t="shared" si="117"/>
        <v>14.476505632970312</v>
      </c>
      <c r="JB21" s="913">
        <f t="shared" si="107"/>
        <v>7107939.4898907123</v>
      </c>
      <c r="JC21" s="883">
        <v>0.22223282548291756</v>
      </c>
      <c r="JG21" s="734">
        <v>18</v>
      </c>
      <c r="JH21" s="869">
        <v>18</v>
      </c>
      <c r="JI21" s="518" t="s">
        <v>425</v>
      </c>
      <c r="JJ21" s="788">
        <f t="shared" si="96"/>
        <v>53860177.621062644</v>
      </c>
      <c r="JK21" s="917">
        <f t="shared" si="97"/>
        <v>12.976505632970312</v>
      </c>
      <c r="JL21" s="870">
        <v>15.667</v>
      </c>
      <c r="JM21" s="768"/>
      <c r="JN21" s="870"/>
      <c r="JO21" s="769">
        <v>25</v>
      </c>
      <c r="JT21" s="936">
        <v>230.53352092654026</v>
      </c>
      <c r="JU21" s="936">
        <f t="shared" si="64"/>
        <v>-0.94589670643009072</v>
      </c>
      <c r="JV21" s="13">
        <v>2154</v>
      </c>
      <c r="JW21" s="13">
        <f t="shared" si="65"/>
        <v>130.26228176403811</v>
      </c>
    </row>
    <row r="22" spans="3:294" x14ac:dyDescent="0.3">
      <c r="J22" s="756">
        <v>19</v>
      </c>
      <c r="K22" s="757">
        <v>19</v>
      </c>
      <c r="L22" s="732" t="s">
        <v>426</v>
      </c>
      <c r="M22" s="904">
        <v>2284.2622817640381</v>
      </c>
      <c r="N22" s="944">
        <f t="shared" si="66"/>
        <v>1.0419765938279637E-6</v>
      </c>
      <c r="O22" s="753">
        <v>14.771428571428572</v>
      </c>
      <c r="P22" s="948">
        <f t="shared" si="67"/>
        <v>154.64058000336814</v>
      </c>
      <c r="Q22" s="733">
        <f t="shared" si="68"/>
        <v>8.8246738764806377E-5</v>
      </c>
      <c r="R22" s="758" t="s">
        <v>397</v>
      </c>
      <c r="V22" s="730">
        <f t="shared" si="98"/>
        <v>19</v>
      </c>
      <c r="W22" s="731">
        <f t="shared" si="0"/>
        <v>19</v>
      </c>
      <c r="X22" s="732" t="s">
        <v>426</v>
      </c>
      <c r="Y22" s="924">
        <f t="shared" si="69"/>
        <v>3986.9355158866024</v>
      </c>
      <c r="Z22" s="944">
        <f t="shared" si="70"/>
        <v>4.7775769963678254E-5</v>
      </c>
      <c r="AD22" s="730">
        <v>19</v>
      </c>
      <c r="AE22" s="746">
        <v>19</v>
      </c>
      <c r="AF22" s="747" t="s">
        <v>426</v>
      </c>
      <c r="AG22" s="748">
        <v>131.15</v>
      </c>
      <c r="AQ22" s="730">
        <f t="shared" si="71"/>
        <v>19</v>
      </c>
      <c r="AR22" s="783">
        <f t="shared" si="1"/>
        <v>19</v>
      </c>
      <c r="AS22" s="732" t="s">
        <v>426</v>
      </c>
      <c r="AT22" s="732">
        <f t="shared" si="2"/>
        <v>131.15</v>
      </c>
      <c r="AU22" s="784">
        <f t="shared" si="72"/>
        <v>2284.2622817640381</v>
      </c>
      <c r="AV22" s="784">
        <f t="shared" si="99"/>
        <v>83.216943959264896</v>
      </c>
      <c r="AW22" s="785">
        <f t="shared" si="3"/>
        <v>86.629202548327399</v>
      </c>
      <c r="AX22" s="786">
        <f t="shared" si="4"/>
        <v>18.238489259491555</v>
      </c>
      <c r="AY22" s="379">
        <f t="shared" si="108"/>
        <v>1579.9857802359877</v>
      </c>
      <c r="AZ22" s="51">
        <f t="shared" si="73"/>
        <v>4.3998176653971678E-5</v>
      </c>
      <c r="BA22" s="53">
        <f t="shared" si="5"/>
        <v>69.168317000000002</v>
      </c>
      <c r="BL22" s="756">
        <f t="shared" si="100"/>
        <v>19</v>
      </c>
      <c r="BM22" s="758">
        <f t="shared" si="6"/>
        <v>19</v>
      </c>
      <c r="BN22" s="732" t="s">
        <v>426</v>
      </c>
      <c r="BO22" s="733">
        <f t="shared" si="7"/>
        <v>4.3998176653971678E-5</v>
      </c>
      <c r="BP22" s="379">
        <f t="shared" si="74"/>
        <v>345.63202948732214</v>
      </c>
      <c r="BQ22" s="733">
        <f t="shared" si="8"/>
        <v>1.0419765938279637E-6</v>
      </c>
      <c r="BR22" s="379">
        <f t="shared" si="75"/>
        <v>8.1853502165648653</v>
      </c>
      <c r="BS22" s="807">
        <f t="shared" si="9"/>
        <v>353.81737970388701</v>
      </c>
      <c r="BT22" s="808">
        <f t="shared" si="10"/>
        <v>15.48935</v>
      </c>
      <c r="BW22" s="1"/>
      <c r="BX22" s="10"/>
      <c r="BY22" s="10"/>
      <c r="BZ22" s="10"/>
      <c r="CA22" s="10"/>
      <c r="CB22" s="10"/>
      <c r="CC22" s="10"/>
      <c r="CD22" s="10"/>
      <c r="CE22" s="10"/>
      <c r="CI22" s="730">
        <f t="shared" si="101"/>
        <v>19</v>
      </c>
      <c r="CJ22" s="746">
        <f t="shared" si="12"/>
        <v>19</v>
      </c>
      <c r="CK22" s="732" t="s">
        <v>426</v>
      </c>
      <c r="CL22" s="733">
        <f t="shared" si="13"/>
        <v>1.0419765938279637E-6</v>
      </c>
      <c r="CM22" s="379">
        <f t="shared" si="14"/>
        <v>5.5789928876139179</v>
      </c>
      <c r="CN22" s="733">
        <f t="shared" si="15"/>
        <v>8.8246738764806377E-5</v>
      </c>
      <c r="CO22" s="379">
        <f t="shared" si="16"/>
        <v>1535.5927910960213</v>
      </c>
      <c r="CP22" s="379">
        <f t="shared" si="17"/>
        <v>1541.1717839836351</v>
      </c>
      <c r="CQ22" s="733">
        <f t="shared" si="18"/>
        <v>6.7727833711222465E-5</v>
      </c>
      <c r="CR22" s="808">
        <f t="shared" si="19"/>
        <v>67.469125000000005</v>
      </c>
      <c r="DE22" s="1"/>
      <c r="DH22" s="730">
        <v>19</v>
      </c>
      <c r="DI22" s="840">
        <f t="shared" si="20"/>
        <v>19</v>
      </c>
      <c r="DJ22" s="732" t="s">
        <v>426</v>
      </c>
      <c r="DK22" s="733">
        <f t="shared" si="21"/>
        <v>6.7727833711222465E-5</v>
      </c>
      <c r="DL22" s="379">
        <f t="shared" si="77"/>
        <v>21.282432164568768</v>
      </c>
      <c r="DM22" s="733">
        <f t="shared" si="22"/>
        <v>8.8246738764806377E-5</v>
      </c>
      <c r="DN22" s="379">
        <f t="shared" si="23"/>
        <v>171.6155028671017</v>
      </c>
      <c r="DO22" s="733">
        <f t="shared" si="24"/>
        <v>1.0419765938279637E-6</v>
      </c>
      <c r="DP22" s="379">
        <f t="shared" si="25"/>
        <v>3.3737864703741183</v>
      </c>
      <c r="DQ22" s="379">
        <f t="shared" si="78"/>
        <v>196.27172150204458</v>
      </c>
      <c r="DR22" s="733">
        <f t="shared" si="26"/>
        <v>3.5706348978435701E-5</v>
      </c>
      <c r="DS22" s="808">
        <f t="shared" si="27"/>
        <v>8.5923459999999992</v>
      </c>
      <c r="DW22" s="730">
        <f t="shared" si="102"/>
        <v>19</v>
      </c>
      <c r="DX22" s="840">
        <f t="shared" si="28"/>
        <v>19</v>
      </c>
      <c r="DY22" s="732" t="s">
        <v>426</v>
      </c>
      <c r="DZ22" s="733">
        <f t="shared" si="29"/>
        <v>8.8246738764806377E-5</v>
      </c>
      <c r="EA22" s="379">
        <f t="shared" si="30"/>
        <v>315.68885046104799</v>
      </c>
      <c r="EB22" s="808">
        <f t="shared" si="31"/>
        <v>13.820166</v>
      </c>
      <c r="EN22" s="730">
        <f t="shared" si="103"/>
        <v>19</v>
      </c>
      <c r="EO22" s="840">
        <f t="shared" si="32"/>
        <v>19</v>
      </c>
      <c r="EP22" s="732" t="s">
        <v>426</v>
      </c>
      <c r="EQ22" s="733">
        <f t="shared" si="33"/>
        <v>4.7775769963678254E-5</v>
      </c>
      <c r="ER22" s="379">
        <f t="shared" si="34"/>
        <v>340.12877063230087</v>
      </c>
      <c r="ES22" s="733">
        <f t="shared" si="35"/>
        <v>6.7727833711222465E-5</v>
      </c>
      <c r="ET22" s="379">
        <f t="shared" si="36"/>
        <v>65.010226006675211</v>
      </c>
      <c r="EU22" s="733">
        <f t="shared" si="37"/>
        <v>1.0419765938279637E-6</v>
      </c>
      <c r="EV22" s="379">
        <f t="shared" si="38"/>
        <v>2.6796097618679409</v>
      </c>
      <c r="EW22" s="379">
        <f t="shared" si="39"/>
        <v>407.81860640084403</v>
      </c>
      <c r="EX22" s="733">
        <f t="shared" si="40"/>
        <v>3.8289920972348411E-5</v>
      </c>
      <c r="EY22" s="808">
        <f t="shared" si="41"/>
        <v>17.853404999999999</v>
      </c>
      <c r="FI22" s="730">
        <f t="shared" si="104"/>
        <v>19</v>
      </c>
      <c r="FJ22" s="731">
        <f t="shared" si="42"/>
        <v>19</v>
      </c>
      <c r="FK22" s="732" t="s">
        <v>426</v>
      </c>
      <c r="FL22" s="733">
        <f t="shared" si="43"/>
        <v>4.7775769963678254E-5</v>
      </c>
      <c r="FM22" s="379">
        <f t="shared" si="44"/>
        <v>897.8800746852711</v>
      </c>
      <c r="FN22" s="808">
        <f t="shared" si="45"/>
        <v>39.307223</v>
      </c>
      <c r="FR22" s="730">
        <f t="shared" si="105"/>
        <v>19</v>
      </c>
      <c r="FS22" s="731">
        <v>19</v>
      </c>
      <c r="FT22" s="732" t="s">
        <v>426</v>
      </c>
      <c r="FU22" s="379">
        <f t="shared" si="46"/>
        <v>1579.9857802359877</v>
      </c>
      <c r="FV22" s="379">
        <f t="shared" si="47"/>
        <v>353.81737970388701</v>
      </c>
      <c r="FW22" s="379">
        <f t="shared" si="48"/>
        <v>1541.1717839836351</v>
      </c>
      <c r="FX22" s="379">
        <f t="shared" si="49"/>
        <v>196.27172150204458</v>
      </c>
      <c r="FY22" s="379">
        <f t="shared" si="50"/>
        <v>315.68885046104799</v>
      </c>
      <c r="FZ22" s="379">
        <f t="shared" si="51"/>
        <v>407.81860640084403</v>
      </c>
      <c r="GA22" s="379">
        <f t="shared" si="52"/>
        <v>897.8800746852711</v>
      </c>
      <c r="GB22" s="379">
        <f t="shared" si="53"/>
        <v>5292.6341969727173</v>
      </c>
      <c r="GC22" s="852">
        <f t="shared" si="54"/>
        <v>231.69993400000001</v>
      </c>
      <c r="GG22" s="730">
        <f t="shared" si="79"/>
        <v>19</v>
      </c>
      <c r="GH22" s="731">
        <f t="shared" si="55"/>
        <v>19</v>
      </c>
      <c r="GI22" s="732" t="s">
        <v>426</v>
      </c>
      <c r="GJ22" s="808">
        <f t="shared" si="56"/>
        <v>69.168317000000002</v>
      </c>
      <c r="GK22" s="808">
        <f t="shared" si="57"/>
        <v>15.48935</v>
      </c>
      <c r="GL22" s="808">
        <f t="shared" si="58"/>
        <v>67.469125000000005</v>
      </c>
      <c r="GM22" s="808">
        <f t="shared" si="59"/>
        <v>8.5923459999999992</v>
      </c>
      <c r="GN22" s="808">
        <f t="shared" si="60"/>
        <v>13.820166</v>
      </c>
      <c r="GO22" s="808">
        <f t="shared" si="61"/>
        <v>17.853404999999999</v>
      </c>
      <c r="GP22" s="808">
        <f t="shared" si="62"/>
        <v>39.307223</v>
      </c>
      <c r="GQ22" s="808">
        <f t="shared" si="63"/>
        <v>231.69993400000001</v>
      </c>
      <c r="GR22" s="784">
        <f t="shared" si="80"/>
        <v>2284.2622817640381</v>
      </c>
      <c r="GS22" s="716"/>
      <c r="GV22" s="717">
        <f t="shared" si="81"/>
        <v>19</v>
      </c>
      <c r="GW22" s="731">
        <v>19</v>
      </c>
      <c r="GX22" s="732" t="s">
        <v>426</v>
      </c>
      <c r="GY22" s="758" t="s">
        <v>397</v>
      </c>
      <c r="GZ22" s="906">
        <f t="shared" si="82"/>
        <v>5292.6341969727173</v>
      </c>
      <c r="HA22" s="784">
        <f t="shared" si="83"/>
        <v>2284.2622817640381</v>
      </c>
      <c r="HB22" s="922">
        <f t="shared" si="109"/>
        <v>231.69993400000001</v>
      </c>
      <c r="HC22" s="942">
        <f t="shared" si="85"/>
        <v>5292.6341992341704</v>
      </c>
      <c r="HD22" s="857">
        <v>-1.0707106412155554E-5</v>
      </c>
      <c r="HE22" s="54"/>
      <c r="HH22" s="54"/>
      <c r="HI22" s="54"/>
      <c r="HJ22" s="54"/>
      <c r="HK22" s="54"/>
      <c r="HL22" s="54"/>
      <c r="HM22" s="54"/>
      <c r="HN22" s="54"/>
      <c r="HQ22" s="730">
        <v>19</v>
      </c>
      <c r="HR22" s="867">
        <v>19</v>
      </c>
      <c r="HS22" s="732" t="s">
        <v>426</v>
      </c>
      <c r="HT22" s="784">
        <f t="shared" si="86"/>
        <v>2284.2622817640381</v>
      </c>
      <c r="HU22" s="917">
        <f t="shared" si="87"/>
        <v>231.69993400000001</v>
      </c>
      <c r="HV22" s="868"/>
      <c r="HW22" s="765"/>
      <c r="HX22" s="868">
        <v>-2.8946819999999889</v>
      </c>
      <c r="HY22" s="766">
        <v>10</v>
      </c>
      <c r="IP22" s="730">
        <v>19</v>
      </c>
      <c r="IQ22" s="867">
        <v>19</v>
      </c>
      <c r="IR22" s="732" t="s">
        <v>426</v>
      </c>
      <c r="IS22" s="913">
        <f t="shared" si="106"/>
        <v>5292.6341992341704</v>
      </c>
      <c r="IT22" s="915">
        <f t="shared" si="88"/>
        <v>2284.2622817640381</v>
      </c>
      <c r="IU22" s="918">
        <f t="shared" si="89"/>
        <v>231.69993400000001</v>
      </c>
      <c r="IV22" s="904">
        <f t="shared" si="114"/>
        <v>335.81147981169732</v>
      </c>
      <c r="IW22" s="904">
        <f t="shared" si="91"/>
        <v>1948.4508019523407</v>
      </c>
      <c r="IX22" s="913">
        <f t="shared" si="115"/>
        <v>5.0371721971754599</v>
      </c>
      <c r="IY22" s="881">
        <f t="shared" si="93"/>
        <v>5287.5970270369953</v>
      </c>
      <c r="IZ22" s="928">
        <f t="shared" si="116"/>
        <v>231.47941763297035</v>
      </c>
      <c r="JA22" s="928">
        <f t="shared" si="117"/>
        <v>232.97941763297035</v>
      </c>
      <c r="JB22" s="913">
        <f t="shared" si="107"/>
        <v>5292.6341992341704</v>
      </c>
      <c r="JC22" s="852">
        <v>0.22223272731204702</v>
      </c>
      <c r="JG22" s="730">
        <v>19</v>
      </c>
      <c r="JH22" s="867">
        <v>19</v>
      </c>
      <c r="JI22" s="732" t="s">
        <v>426</v>
      </c>
      <c r="JJ22" s="784">
        <f t="shared" si="96"/>
        <v>2284.2622817640381</v>
      </c>
      <c r="JK22" s="917">
        <f t="shared" si="97"/>
        <v>231.47941763297035</v>
      </c>
      <c r="JL22" s="868">
        <v>235.7</v>
      </c>
      <c r="JM22" s="765"/>
      <c r="JN22" s="868"/>
      <c r="JO22" s="766">
        <v>10</v>
      </c>
      <c r="JT22" s="936">
        <v>0</v>
      </c>
      <c r="JU22" s="936">
        <f t="shared" si="64"/>
        <v>0</v>
      </c>
      <c r="JV22" s="13">
        <v>0</v>
      </c>
      <c r="JW22" s="13">
        <f t="shared" si="65"/>
        <v>0</v>
      </c>
    </row>
    <row r="23" spans="3:294" x14ac:dyDescent="0.3">
      <c r="J23" s="338">
        <v>20</v>
      </c>
      <c r="K23" s="759">
        <v>20</v>
      </c>
      <c r="L23" s="518" t="s">
        <v>427</v>
      </c>
      <c r="M23" s="904"/>
      <c r="N23" s="943">
        <f t="shared" si="66"/>
        <v>0</v>
      </c>
      <c r="O23" s="455">
        <v>813.59999999999991</v>
      </c>
      <c r="P23" s="948">
        <f t="shared" si="67"/>
        <v>0</v>
      </c>
      <c r="Q23" s="659">
        <f t="shared" si="68"/>
        <v>0</v>
      </c>
      <c r="R23" s="322" t="s">
        <v>402</v>
      </c>
      <c r="V23" s="734">
        <f t="shared" si="98"/>
        <v>20</v>
      </c>
      <c r="W23" s="735">
        <f t="shared" si="0"/>
        <v>20</v>
      </c>
      <c r="X23" s="518" t="s">
        <v>427</v>
      </c>
      <c r="Y23" s="924">
        <f t="shared" si="69"/>
        <v>0</v>
      </c>
      <c r="Z23" s="943">
        <f t="shared" si="70"/>
        <v>0</v>
      </c>
      <c r="AD23" s="734">
        <v>20</v>
      </c>
      <c r="AE23" s="146">
        <v>20</v>
      </c>
      <c r="AF23" s="347" t="s">
        <v>427</v>
      </c>
      <c r="AG23" s="369">
        <v>4.6900000000000004</v>
      </c>
      <c r="AQ23" s="734">
        <f t="shared" si="71"/>
        <v>20</v>
      </c>
      <c r="AR23" s="787">
        <f t="shared" si="1"/>
        <v>20</v>
      </c>
      <c r="AS23" s="518" t="s">
        <v>427</v>
      </c>
      <c r="AT23" s="518">
        <f t="shared" si="2"/>
        <v>4.6900000000000004</v>
      </c>
      <c r="AU23" s="788">
        <f t="shared" si="72"/>
        <v>0</v>
      </c>
      <c r="AV23" s="788">
        <f t="shared" si="99"/>
        <v>0</v>
      </c>
      <c r="AW23" s="789">
        <f t="shared" si="3"/>
        <v>0</v>
      </c>
      <c r="AX23" s="790">
        <f t="shared" si="4"/>
        <v>18.238489259491555</v>
      </c>
      <c r="AY23" s="358">
        <f t="shared" si="108"/>
        <v>0</v>
      </c>
      <c r="AZ23" s="35">
        <f t="shared" si="73"/>
        <v>0</v>
      </c>
      <c r="BA23" s="55">
        <f t="shared" si="5"/>
        <v>0</v>
      </c>
      <c r="BL23" s="338">
        <f t="shared" si="100"/>
        <v>20</v>
      </c>
      <c r="BM23" s="322">
        <f t="shared" si="6"/>
        <v>20</v>
      </c>
      <c r="BN23" s="518" t="s">
        <v>427</v>
      </c>
      <c r="BO23" s="659">
        <f>VLOOKUP(BM23,$AR$4:$AZ$28,$BO$30,FALSE)</f>
        <v>0</v>
      </c>
      <c r="BP23" s="358">
        <f>BO23*$BP$28</f>
        <v>0</v>
      </c>
      <c r="BQ23" s="947">
        <f>VLOOKUP(BM23,$K$4:$N$27,$BQ$30,FALSE)</f>
        <v>0</v>
      </c>
      <c r="BR23" s="358">
        <f>BQ23*$BR$28</f>
        <v>0</v>
      </c>
      <c r="BS23" s="809">
        <f t="shared" si="9"/>
        <v>0</v>
      </c>
      <c r="BT23" s="810">
        <f t="shared" si="10"/>
        <v>0</v>
      </c>
      <c r="BW23" s="1"/>
      <c r="BX23" s="10"/>
      <c r="BY23" s="10"/>
      <c r="BZ23" s="10"/>
      <c r="CA23" s="10"/>
      <c r="CB23" s="10"/>
      <c r="CC23" s="10"/>
      <c r="CD23" s="10"/>
      <c r="CE23" s="10"/>
      <c r="CI23" s="734">
        <f t="shared" si="101"/>
        <v>20</v>
      </c>
      <c r="CJ23" s="146">
        <f t="shared" si="12"/>
        <v>20</v>
      </c>
      <c r="CK23" s="518" t="s">
        <v>427</v>
      </c>
      <c r="CL23" s="344">
        <f t="shared" si="13"/>
        <v>0</v>
      </c>
      <c r="CM23" s="20">
        <f t="shared" si="14"/>
        <v>0</v>
      </c>
      <c r="CN23" s="344">
        <f t="shared" si="15"/>
        <v>0</v>
      </c>
      <c r="CO23" s="20">
        <f t="shared" si="16"/>
        <v>0</v>
      </c>
      <c r="CP23" s="20">
        <f t="shared" si="17"/>
        <v>0</v>
      </c>
      <c r="CQ23" s="344">
        <f t="shared" si="18"/>
        <v>0</v>
      </c>
      <c r="CR23" s="342">
        <f t="shared" si="19"/>
        <v>0</v>
      </c>
      <c r="DE23" s="1"/>
      <c r="DH23" s="734">
        <v>20</v>
      </c>
      <c r="DI23" s="745">
        <f t="shared" si="20"/>
        <v>20</v>
      </c>
      <c r="DJ23" s="518" t="s">
        <v>427</v>
      </c>
      <c r="DK23" s="344">
        <f t="shared" si="21"/>
        <v>0</v>
      </c>
      <c r="DL23" s="20">
        <f t="shared" si="77"/>
        <v>0</v>
      </c>
      <c r="DM23" s="344">
        <f t="shared" si="22"/>
        <v>0</v>
      </c>
      <c r="DN23" s="20">
        <f t="shared" si="23"/>
        <v>0</v>
      </c>
      <c r="DO23" s="344">
        <f t="shared" si="24"/>
        <v>0</v>
      </c>
      <c r="DP23" s="20">
        <f t="shared" si="25"/>
        <v>0</v>
      </c>
      <c r="DQ23" s="20">
        <f t="shared" si="78"/>
        <v>0</v>
      </c>
      <c r="DR23" s="344">
        <f t="shared" si="26"/>
        <v>0</v>
      </c>
      <c r="DS23" s="342">
        <f t="shared" si="27"/>
        <v>0</v>
      </c>
      <c r="DW23" s="734">
        <f t="shared" si="102"/>
        <v>20</v>
      </c>
      <c r="DX23" s="745">
        <f t="shared" si="28"/>
        <v>20</v>
      </c>
      <c r="DY23" s="518" t="s">
        <v>427</v>
      </c>
      <c r="DZ23" s="344">
        <f t="shared" si="29"/>
        <v>0</v>
      </c>
      <c r="EA23" s="20">
        <f t="shared" si="30"/>
        <v>0</v>
      </c>
      <c r="EB23" s="342">
        <f t="shared" si="31"/>
        <v>0</v>
      </c>
      <c r="EN23" s="734">
        <f t="shared" si="103"/>
        <v>20</v>
      </c>
      <c r="EO23" s="745">
        <f t="shared" si="32"/>
        <v>20</v>
      </c>
      <c r="EP23" s="518" t="s">
        <v>427</v>
      </c>
      <c r="EQ23" s="344">
        <f t="shared" si="33"/>
        <v>0</v>
      </c>
      <c r="ER23" s="20">
        <f t="shared" si="34"/>
        <v>0</v>
      </c>
      <c r="ES23" s="344">
        <f t="shared" si="35"/>
        <v>0</v>
      </c>
      <c r="ET23" s="20">
        <f t="shared" si="36"/>
        <v>0</v>
      </c>
      <c r="EU23" s="344">
        <f t="shared" si="37"/>
        <v>0</v>
      </c>
      <c r="EV23" s="20">
        <f t="shared" si="38"/>
        <v>0</v>
      </c>
      <c r="EW23" s="20">
        <f t="shared" si="39"/>
        <v>0</v>
      </c>
      <c r="EX23" s="344">
        <f t="shared" si="40"/>
        <v>0</v>
      </c>
      <c r="EY23" s="342">
        <f t="shared" si="41"/>
        <v>0</v>
      </c>
      <c r="FI23" s="734">
        <f t="shared" si="104"/>
        <v>20</v>
      </c>
      <c r="FJ23" s="735">
        <f t="shared" si="42"/>
        <v>20</v>
      </c>
      <c r="FK23" s="518" t="s">
        <v>427</v>
      </c>
      <c r="FL23" s="344">
        <f>Z23</f>
        <v>0</v>
      </c>
      <c r="FM23" s="20">
        <f>Z23*$FM$28</f>
        <v>0</v>
      </c>
      <c r="FN23" s="342">
        <f t="shared" si="45"/>
        <v>0</v>
      </c>
      <c r="FR23" s="734">
        <f t="shared" si="105"/>
        <v>20</v>
      </c>
      <c r="FS23" s="735">
        <v>20</v>
      </c>
      <c r="FT23" s="518" t="s">
        <v>427</v>
      </c>
      <c r="FU23" s="20">
        <f t="shared" si="46"/>
        <v>0</v>
      </c>
      <c r="FV23" s="20">
        <f>VLOOKUP(FS23,$BM$4:$BT$86,$FV$30,FALSE)</f>
        <v>0</v>
      </c>
      <c r="FW23" s="20">
        <f t="shared" si="48"/>
        <v>0</v>
      </c>
      <c r="FX23" s="20">
        <f t="shared" si="49"/>
        <v>0</v>
      </c>
      <c r="FY23" s="20">
        <f t="shared" si="50"/>
        <v>0</v>
      </c>
      <c r="FZ23" s="20">
        <f t="shared" si="51"/>
        <v>0</v>
      </c>
      <c r="GA23" s="20">
        <f t="shared" si="52"/>
        <v>0</v>
      </c>
      <c r="GB23" s="20">
        <f t="shared" si="53"/>
        <v>0</v>
      </c>
      <c r="GC23" s="414">
        <f t="shared" si="54"/>
        <v>0</v>
      </c>
      <c r="GG23" s="734">
        <f t="shared" si="79"/>
        <v>20</v>
      </c>
      <c r="GH23" s="735">
        <f t="shared" si="55"/>
        <v>20</v>
      </c>
      <c r="GI23" s="518" t="s">
        <v>427</v>
      </c>
      <c r="GJ23" s="342">
        <f t="shared" si="56"/>
        <v>0</v>
      </c>
      <c r="GK23" s="342">
        <f t="shared" si="57"/>
        <v>0</v>
      </c>
      <c r="GL23" s="342">
        <f t="shared" si="58"/>
        <v>0</v>
      </c>
      <c r="GM23" s="342">
        <f t="shared" si="59"/>
        <v>0</v>
      </c>
      <c r="GN23" s="342">
        <f t="shared" si="60"/>
        <v>0</v>
      </c>
      <c r="GO23" s="342">
        <f t="shared" si="61"/>
        <v>0</v>
      </c>
      <c r="GP23" s="342">
        <f t="shared" si="62"/>
        <v>0</v>
      </c>
      <c r="GQ23" s="342">
        <f t="shared" si="63"/>
        <v>0</v>
      </c>
      <c r="GR23" s="788">
        <f t="shared" si="80"/>
        <v>0</v>
      </c>
      <c r="GS23" s="716"/>
      <c r="GV23" s="718">
        <f t="shared" si="81"/>
        <v>20</v>
      </c>
      <c r="GW23" s="735">
        <v>20</v>
      </c>
      <c r="GX23" s="518" t="s">
        <v>427</v>
      </c>
      <c r="GY23" s="322" t="s">
        <v>402</v>
      </c>
      <c r="GZ23" s="924">
        <f>GB23</f>
        <v>0</v>
      </c>
      <c r="HA23" s="788">
        <f t="shared" si="83"/>
        <v>0</v>
      </c>
      <c r="HB23" s="922">
        <f t="shared" si="109"/>
        <v>0</v>
      </c>
      <c r="HC23" s="942">
        <f t="shared" si="85"/>
        <v>0</v>
      </c>
      <c r="HD23" s="858">
        <v>-1.3227962699602358E-3</v>
      </c>
      <c r="HE23" s="54"/>
      <c r="HH23" s="54"/>
      <c r="HI23" s="54"/>
      <c r="HJ23" s="54"/>
      <c r="HK23" s="54"/>
      <c r="HL23" s="54"/>
      <c r="HM23" s="54"/>
      <c r="HN23" s="54"/>
      <c r="HQ23" s="734">
        <v>20</v>
      </c>
      <c r="HR23" s="869">
        <v>20</v>
      </c>
      <c r="HS23" s="518" t="s">
        <v>427</v>
      </c>
      <c r="HT23" s="788">
        <f t="shared" si="86"/>
        <v>0</v>
      </c>
      <c r="HU23" s="917">
        <f t="shared" si="87"/>
        <v>0</v>
      </c>
      <c r="HV23" s="870"/>
      <c r="HW23" s="768"/>
      <c r="HX23" s="870">
        <v>-1.448607</v>
      </c>
      <c r="HY23" s="769">
        <v>10</v>
      </c>
      <c r="IP23" s="734">
        <v>20</v>
      </c>
      <c r="IQ23" s="869">
        <v>20</v>
      </c>
      <c r="IR23" s="518" t="s">
        <v>427</v>
      </c>
      <c r="IS23" s="913">
        <f t="shared" si="106"/>
        <v>0</v>
      </c>
      <c r="IT23" s="915">
        <f t="shared" si="88"/>
        <v>0</v>
      </c>
      <c r="IU23" s="919">
        <f t="shared" si="89"/>
        <v>0</v>
      </c>
      <c r="IV23" s="904">
        <v>0</v>
      </c>
      <c r="IW23" s="904">
        <f t="shared" si="91"/>
        <v>0</v>
      </c>
      <c r="IX23" s="913">
        <v>0</v>
      </c>
      <c r="IY23" s="882">
        <f t="shared" si="93"/>
        <v>0</v>
      </c>
      <c r="IZ23" s="928">
        <f t="shared" ref="IZ23:IZ24" si="118">IU23</f>
        <v>0</v>
      </c>
      <c r="JA23" s="929">
        <f>IZ23</f>
        <v>0</v>
      </c>
      <c r="JB23" s="913">
        <f t="shared" si="107"/>
        <v>0</v>
      </c>
      <c r="JC23" s="883">
        <v>0</v>
      </c>
      <c r="JG23" s="734">
        <v>20</v>
      </c>
      <c r="JH23" s="869">
        <v>20</v>
      </c>
      <c r="JI23" s="518" t="s">
        <v>427</v>
      </c>
      <c r="JJ23" s="788">
        <f t="shared" si="96"/>
        <v>0</v>
      </c>
      <c r="JK23" s="917">
        <f t="shared" si="97"/>
        <v>0</v>
      </c>
      <c r="JL23" s="870">
        <v>8.734</v>
      </c>
      <c r="JM23" s="768"/>
      <c r="JN23" s="870"/>
      <c r="JO23" s="769">
        <v>10</v>
      </c>
      <c r="JT23" s="936">
        <v>0</v>
      </c>
      <c r="JU23" s="936">
        <f t="shared" si="64"/>
        <v>0</v>
      </c>
      <c r="JV23" s="13">
        <v>0</v>
      </c>
      <c r="JW23" s="13">
        <f t="shared" si="65"/>
        <v>0</v>
      </c>
    </row>
    <row r="24" spans="3:294" x14ac:dyDescent="0.3">
      <c r="J24" s="756">
        <v>21</v>
      </c>
      <c r="K24" s="757">
        <v>21</v>
      </c>
      <c r="L24" s="732" t="s">
        <v>428</v>
      </c>
      <c r="M24" s="904"/>
      <c r="N24" s="944">
        <f t="shared" si="66"/>
        <v>0</v>
      </c>
      <c r="O24" s="753">
        <v>616.79999999999995</v>
      </c>
      <c r="P24" s="948">
        <f t="shared" si="67"/>
        <v>0</v>
      </c>
      <c r="Q24" s="733">
        <f t="shared" si="68"/>
        <v>0</v>
      </c>
      <c r="R24" s="758" t="s">
        <v>402</v>
      </c>
      <c r="V24" s="730">
        <f t="shared" si="98"/>
        <v>21</v>
      </c>
      <c r="W24" s="731">
        <f t="shared" si="0"/>
        <v>21</v>
      </c>
      <c r="X24" s="732" t="s">
        <v>428</v>
      </c>
      <c r="Y24" s="924">
        <f t="shared" si="69"/>
        <v>0</v>
      </c>
      <c r="Z24" s="944">
        <f t="shared" si="70"/>
        <v>0</v>
      </c>
      <c r="AD24" s="730">
        <v>21</v>
      </c>
      <c r="AE24" s="746">
        <v>21</v>
      </c>
      <c r="AF24" s="747" t="s">
        <v>428</v>
      </c>
      <c r="AG24" s="748">
        <v>5.0999999999999996</v>
      </c>
      <c r="AQ24" s="730">
        <f t="shared" si="71"/>
        <v>21</v>
      </c>
      <c r="AR24" s="783">
        <f t="shared" si="1"/>
        <v>21</v>
      </c>
      <c r="AS24" s="732" t="s">
        <v>428</v>
      </c>
      <c r="AT24" s="732">
        <f t="shared" si="2"/>
        <v>5.0999999999999996</v>
      </c>
      <c r="AU24" s="784">
        <f t="shared" si="72"/>
        <v>0</v>
      </c>
      <c r="AV24" s="784">
        <f t="shared" si="99"/>
        <v>0</v>
      </c>
      <c r="AW24" s="785">
        <f t="shared" si="3"/>
        <v>0</v>
      </c>
      <c r="AX24" s="786">
        <f t="shared" si="4"/>
        <v>18.238489259491555</v>
      </c>
      <c r="AY24" s="379">
        <f t="shared" si="108"/>
        <v>0</v>
      </c>
      <c r="AZ24" s="51">
        <f t="shared" si="73"/>
        <v>0</v>
      </c>
      <c r="BA24" s="53">
        <f t="shared" si="5"/>
        <v>0</v>
      </c>
      <c r="BL24" s="756">
        <f t="shared" si="100"/>
        <v>21</v>
      </c>
      <c r="BM24" s="758">
        <f t="shared" si="6"/>
        <v>21</v>
      </c>
      <c r="BN24" s="732" t="s">
        <v>428</v>
      </c>
      <c r="BO24" s="733">
        <f t="shared" si="7"/>
        <v>0</v>
      </c>
      <c r="BP24" s="379">
        <f t="shared" si="74"/>
        <v>0</v>
      </c>
      <c r="BQ24" s="733">
        <f t="shared" si="8"/>
        <v>0</v>
      </c>
      <c r="BR24" s="379">
        <f t="shared" si="75"/>
        <v>0</v>
      </c>
      <c r="BS24" s="807">
        <f t="shared" si="9"/>
        <v>0</v>
      </c>
      <c r="BT24" s="808">
        <f t="shared" si="10"/>
        <v>0</v>
      </c>
      <c r="BW24" s="1"/>
      <c r="BX24" s="10"/>
      <c r="BY24" s="10"/>
      <c r="BZ24" s="10"/>
      <c r="CA24" s="10"/>
      <c r="CB24" s="10"/>
      <c r="CC24" s="10"/>
      <c r="CD24" s="10"/>
      <c r="CE24" s="10"/>
      <c r="CI24" s="730">
        <f t="shared" si="101"/>
        <v>21</v>
      </c>
      <c r="CJ24" s="746">
        <f t="shared" si="12"/>
        <v>21</v>
      </c>
      <c r="CK24" s="732" t="s">
        <v>428</v>
      </c>
      <c r="CL24" s="733">
        <f t="shared" si="13"/>
        <v>0</v>
      </c>
      <c r="CM24" s="379">
        <f t="shared" si="14"/>
        <v>0</v>
      </c>
      <c r="CN24" s="733">
        <f t="shared" si="15"/>
        <v>0</v>
      </c>
      <c r="CO24" s="379">
        <f t="shared" si="16"/>
        <v>0</v>
      </c>
      <c r="CP24" s="379">
        <f t="shared" si="17"/>
        <v>0</v>
      </c>
      <c r="CQ24" s="733">
        <f t="shared" si="18"/>
        <v>0</v>
      </c>
      <c r="CR24" s="808">
        <f t="shared" si="19"/>
        <v>0</v>
      </c>
      <c r="DE24" s="1"/>
      <c r="DH24" s="730">
        <v>21</v>
      </c>
      <c r="DI24" s="840">
        <f t="shared" si="20"/>
        <v>21</v>
      </c>
      <c r="DJ24" s="732" t="s">
        <v>428</v>
      </c>
      <c r="DK24" s="733">
        <f t="shared" si="21"/>
        <v>0</v>
      </c>
      <c r="DL24" s="379">
        <f t="shared" si="77"/>
        <v>0</v>
      </c>
      <c r="DM24" s="733">
        <f t="shared" si="22"/>
        <v>0</v>
      </c>
      <c r="DN24" s="379">
        <f t="shared" si="23"/>
        <v>0</v>
      </c>
      <c r="DO24" s="733">
        <f t="shared" si="24"/>
        <v>0</v>
      </c>
      <c r="DP24" s="379">
        <f t="shared" si="25"/>
        <v>0</v>
      </c>
      <c r="DQ24" s="379">
        <f t="shared" si="78"/>
        <v>0</v>
      </c>
      <c r="DR24" s="733">
        <f t="shared" si="26"/>
        <v>0</v>
      </c>
      <c r="DS24" s="808">
        <f t="shared" si="27"/>
        <v>0</v>
      </c>
      <c r="DW24" s="730">
        <f t="shared" si="102"/>
        <v>21</v>
      </c>
      <c r="DX24" s="840">
        <f t="shared" si="28"/>
        <v>21</v>
      </c>
      <c r="DY24" s="732" t="s">
        <v>428</v>
      </c>
      <c r="DZ24" s="733">
        <f t="shared" si="29"/>
        <v>0</v>
      </c>
      <c r="EA24" s="379">
        <f t="shared" si="30"/>
        <v>0</v>
      </c>
      <c r="EB24" s="808">
        <f t="shared" si="31"/>
        <v>0</v>
      </c>
      <c r="EN24" s="730">
        <f t="shared" si="103"/>
        <v>21</v>
      </c>
      <c r="EO24" s="840">
        <f t="shared" si="32"/>
        <v>21</v>
      </c>
      <c r="EP24" s="732" t="s">
        <v>428</v>
      </c>
      <c r="EQ24" s="733">
        <f t="shared" si="33"/>
        <v>0</v>
      </c>
      <c r="ER24" s="379">
        <f t="shared" si="34"/>
        <v>0</v>
      </c>
      <c r="ES24" s="733">
        <f t="shared" si="35"/>
        <v>0</v>
      </c>
      <c r="ET24" s="379">
        <f t="shared" si="36"/>
        <v>0</v>
      </c>
      <c r="EU24" s="733">
        <f t="shared" si="37"/>
        <v>0</v>
      </c>
      <c r="EV24" s="379">
        <f t="shared" si="38"/>
        <v>0</v>
      </c>
      <c r="EW24" s="379">
        <f t="shared" si="39"/>
        <v>0</v>
      </c>
      <c r="EX24" s="733">
        <f t="shared" si="40"/>
        <v>0</v>
      </c>
      <c r="EY24" s="808">
        <f t="shared" si="41"/>
        <v>0</v>
      </c>
      <c r="FI24" s="730">
        <f t="shared" si="104"/>
        <v>21</v>
      </c>
      <c r="FJ24" s="731">
        <f t="shared" si="42"/>
        <v>21</v>
      </c>
      <c r="FK24" s="732" t="s">
        <v>428</v>
      </c>
      <c r="FL24" s="733">
        <f t="shared" si="43"/>
        <v>0</v>
      </c>
      <c r="FM24" s="379">
        <f t="shared" si="44"/>
        <v>0</v>
      </c>
      <c r="FN24" s="808">
        <f t="shared" si="45"/>
        <v>0</v>
      </c>
      <c r="FR24" s="730">
        <f t="shared" si="105"/>
        <v>21</v>
      </c>
      <c r="FS24" s="731">
        <v>21</v>
      </c>
      <c r="FT24" s="732" t="s">
        <v>428</v>
      </c>
      <c r="FU24" s="379">
        <f t="shared" si="46"/>
        <v>0</v>
      </c>
      <c r="FV24" s="379">
        <f>VLOOKUP(FS24,$BM$4:$BT$86,$FV$30,FALSE)</f>
        <v>0</v>
      </c>
      <c r="FW24" s="379">
        <f t="shared" si="48"/>
        <v>0</v>
      </c>
      <c r="FX24" s="379">
        <f t="shared" si="49"/>
        <v>0</v>
      </c>
      <c r="FY24" s="379">
        <f t="shared" si="50"/>
        <v>0</v>
      </c>
      <c r="FZ24" s="379">
        <f t="shared" si="51"/>
        <v>0</v>
      </c>
      <c r="GA24" s="379">
        <f t="shared" si="52"/>
        <v>0</v>
      </c>
      <c r="GB24" s="379">
        <f>SUM(FU24:GA24)</f>
        <v>0</v>
      </c>
      <c r="GC24" s="852">
        <f t="shared" si="54"/>
        <v>0</v>
      </c>
      <c r="GG24" s="730">
        <f t="shared" si="79"/>
        <v>21</v>
      </c>
      <c r="GH24" s="731">
        <f t="shared" si="55"/>
        <v>21</v>
      </c>
      <c r="GI24" s="732" t="s">
        <v>428</v>
      </c>
      <c r="GJ24" s="808">
        <f t="shared" si="56"/>
        <v>0</v>
      </c>
      <c r="GK24" s="808">
        <f t="shared" si="57"/>
        <v>0</v>
      </c>
      <c r="GL24" s="808">
        <f t="shared" si="58"/>
        <v>0</v>
      </c>
      <c r="GM24" s="808">
        <f t="shared" si="59"/>
        <v>0</v>
      </c>
      <c r="GN24" s="808">
        <f t="shared" si="60"/>
        <v>0</v>
      </c>
      <c r="GO24" s="808">
        <f t="shared" si="61"/>
        <v>0</v>
      </c>
      <c r="GP24" s="808">
        <f t="shared" si="62"/>
        <v>0</v>
      </c>
      <c r="GQ24" s="808">
        <f t="shared" si="63"/>
        <v>0</v>
      </c>
      <c r="GR24" s="784">
        <f t="shared" si="80"/>
        <v>0</v>
      </c>
      <c r="GS24" s="716"/>
      <c r="GV24" s="717">
        <f t="shared" si="81"/>
        <v>21</v>
      </c>
      <c r="GW24" s="731">
        <v>21</v>
      </c>
      <c r="GX24" s="732" t="s">
        <v>428</v>
      </c>
      <c r="GY24" s="758" t="s">
        <v>402</v>
      </c>
      <c r="GZ24" s="906">
        <f t="shared" si="82"/>
        <v>0</v>
      </c>
      <c r="HA24" s="784">
        <f t="shared" si="83"/>
        <v>0</v>
      </c>
      <c r="HB24" s="922">
        <f t="shared" si="109"/>
        <v>0</v>
      </c>
      <c r="HC24" s="942">
        <f t="shared" si="85"/>
        <v>0</v>
      </c>
      <c r="HD24" s="857">
        <v>-5.9903747751377523E-4</v>
      </c>
      <c r="HE24" s="54"/>
      <c r="HH24" s="54"/>
      <c r="HI24" s="54"/>
      <c r="HJ24" s="54"/>
      <c r="HK24" s="54"/>
      <c r="HL24" s="54"/>
      <c r="HM24" s="54"/>
      <c r="HN24" s="54"/>
      <c r="HQ24" s="730">
        <v>21</v>
      </c>
      <c r="HR24" s="867">
        <v>21</v>
      </c>
      <c r="HS24" s="732" t="s">
        <v>428</v>
      </c>
      <c r="HT24" s="784">
        <f t="shared" si="86"/>
        <v>0</v>
      </c>
      <c r="HU24" s="917">
        <f t="shared" si="87"/>
        <v>0</v>
      </c>
      <c r="HV24" s="868"/>
      <c r="HW24" s="765"/>
      <c r="HX24" s="868">
        <v>-1.6913859999999996</v>
      </c>
      <c r="HY24" s="766">
        <v>10</v>
      </c>
      <c r="IP24" s="730">
        <v>21</v>
      </c>
      <c r="IQ24" s="867">
        <v>21</v>
      </c>
      <c r="IR24" s="732" t="s">
        <v>428</v>
      </c>
      <c r="IS24" s="913">
        <f t="shared" si="106"/>
        <v>0</v>
      </c>
      <c r="IT24" s="915">
        <f t="shared" si="88"/>
        <v>0</v>
      </c>
      <c r="IU24" s="918">
        <f t="shared" si="89"/>
        <v>0</v>
      </c>
      <c r="IV24" s="904">
        <v>0</v>
      </c>
      <c r="IW24" s="904">
        <f t="shared" si="91"/>
        <v>0</v>
      </c>
      <c r="IX24" s="913">
        <v>0</v>
      </c>
      <c r="IY24" s="881">
        <f t="shared" si="93"/>
        <v>0</v>
      </c>
      <c r="IZ24" s="928">
        <f t="shared" si="118"/>
        <v>0</v>
      </c>
      <c r="JA24" s="928">
        <v>8.3326989999999999</v>
      </c>
      <c r="JB24" s="913">
        <f t="shared" si="107"/>
        <v>0</v>
      </c>
      <c r="JC24" s="852">
        <v>0</v>
      </c>
      <c r="JG24" s="730">
        <v>21</v>
      </c>
      <c r="JH24" s="867">
        <v>21</v>
      </c>
      <c r="JI24" s="732" t="s">
        <v>428</v>
      </c>
      <c r="JJ24" s="784">
        <f t="shared" si="96"/>
        <v>0</v>
      </c>
      <c r="JK24" s="917">
        <f t="shared" si="97"/>
        <v>0</v>
      </c>
      <c r="JL24" s="868">
        <v>10.023999999999999</v>
      </c>
      <c r="JM24" s="765"/>
      <c r="JN24" s="868"/>
      <c r="JO24" s="766">
        <v>10</v>
      </c>
      <c r="JT24" s="936">
        <v>5.1923509265402581</v>
      </c>
      <c r="JU24" s="936">
        <f t="shared" si="64"/>
        <v>-1.7100706430055901E-2</v>
      </c>
      <c r="JV24" s="13">
        <v>97572642</v>
      </c>
      <c r="JW24" s="13">
        <f t="shared" si="65"/>
        <v>-277855.80062535405</v>
      </c>
    </row>
    <row r="25" spans="3:294" x14ac:dyDescent="0.3">
      <c r="J25" s="338">
        <v>22</v>
      </c>
      <c r="K25" s="759">
        <v>22</v>
      </c>
      <c r="L25" s="518" t="s">
        <v>429</v>
      </c>
      <c r="M25" s="904">
        <v>97294786.199374646</v>
      </c>
      <c r="N25" s="943">
        <f t="shared" si="66"/>
        <v>4.4381457738274163E-2</v>
      </c>
      <c r="O25" s="455">
        <v>1460.4614875157295</v>
      </c>
      <c r="P25" s="948">
        <f t="shared" si="67"/>
        <v>66619.207032206497</v>
      </c>
      <c r="Q25" s="659">
        <f t="shared" si="68"/>
        <v>3.8016720834606499E-2</v>
      </c>
      <c r="R25" s="322" t="s">
        <v>397</v>
      </c>
      <c r="V25" s="734">
        <f t="shared" si="98"/>
        <v>22</v>
      </c>
      <c r="W25" s="735">
        <f t="shared" si="0"/>
        <v>22</v>
      </c>
      <c r="X25" s="518" t="s">
        <v>429</v>
      </c>
      <c r="Y25" s="924">
        <f t="shared" si="69"/>
        <v>3915260.6990167936</v>
      </c>
      <c r="Z25" s="943">
        <f t="shared" si="70"/>
        <v>4.6916884850208021E-2</v>
      </c>
      <c r="AD25" s="734">
        <v>22</v>
      </c>
      <c r="AE25" s="146">
        <v>22</v>
      </c>
      <c r="AF25" s="347" t="s">
        <v>429</v>
      </c>
      <c r="AG25" s="369">
        <v>3.68</v>
      </c>
      <c r="AQ25" s="734">
        <f t="shared" si="71"/>
        <v>22</v>
      </c>
      <c r="AR25" s="787">
        <f t="shared" si="1"/>
        <v>22</v>
      </c>
      <c r="AS25" s="518" t="s">
        <v>429</v>
      </c>
      <c r="AT25" s="518">
        <f t="shared" si="2"/>
        <v>3.68</v>
      </c>
      <c r="AU25" s="788">
        <f t="shared" si="72"/>
        <v>97294786.199374646</v>
      </c>
      <c r="AV25" s="788">
        <f t="shared" si="99"/>
        <v>99456.892559360742</v>
      </c>
      <c r="AW25" s="789">
        <f t="shared" si="3"/>
        <v>103535.06005423138</v>
      </c>
      <c r="AX25" s="790">
        <f t="shared" si="4"/>
        <v>18.238489259491555</v>
      </c>
      <c r="AY25" s="358">
        <f t="shared" si="108"/>
        <v>1888323.0807799122</v>
      </c>
      <c r="AZ25" s="35">
        <f t="shared" si="73"/>
        <v>5.2584506472910984E-2</v>
      </c>
      <c r="BA25" s="55">
        <f t="shared" si="5"/>
        <v>1.9408270000000001</v>
      </c>
      <c r="BL25" s="338">
        <f t="shared" si="100"/>
        <v>22</v>
      </c>
      <c r="BM25" s="322">
        <f t="shared" si="6"/>
        <v>22</v>
      </c>
      <c r="BN25" s="518" t="s">
        <v>429</v>
      </c>
      <c r="BO25" s="659">
        <f t="shared" si="7"/>
        <v>5.2584506472910984E-2</v>
      </c>
      <c r="BP25" s="358">
        <f t="shared" si="74"/>
        <v>413082.79283388943</v>
      </c>
      <c r="BQ25" s="659">
        <f t="shared" si="8"/>
        <v>4.4381457738274163E-2</v>
      </c>
      <c r="BR25" s="358">
        <f t="shared" si="75"/>
        <v>348642.93196342763</v>
      </c>
      <c r="BS25" s="809">
        <f t="shared" si="9"/>
        <v>761725.72479731706</v>
      </c>
      <c r="BT25" s="810">
        <f t="shared" si="10"/>
        <v>0.78290499999999996</v>
      </c>
      <c r="BW25" s="1"/>
      <c r="BX25" s="10"/>
      <c r="BY25" s="10"/>
      <c r="BZ25" s="10"/>
      <c r="CA25" s="10"/>
      <c r="CB25" s="10"/>
      <c r="CC25" s="10"/>
      <c r="CD25" s="10"/>
      <c r="CE25" s="10"/>
      <c r="CI25" s="734">
        <f t="shared" si="101"/>
        <v>22</v>
      </c>
      <c r="CJ25" s="146">
        <f t="shared" si="12"/>
        <v>22</v>
      </c>
      <c r="CK25" s="518" t="s">
        <v>429</v>
      </c>
      <c r="CL25" s="344">
        <f t="shared" si="13"/>
        <v>4.4381457738274163E-2</v>
      </c>
      <c r="CM25" s="20">
        <f t="shared" si="14"/>
        <v>237628.98181247441</v>
      </c>
      <c r="CN25" s="344">
        <f t="shared" si="15"/>
        <v>3.8016720834606499E-2</v>
      </c>
      <c r="CO25" s="20">
        <f t="shared" si="16"/>
        <v>661533.82291350386</v>
      </c>
      <c r="CP25" s="20">
        <f t="shared" si="17"/>
        <v>899162.80472597829</v>
      </c>
      <c r="CQ25" s="344">
        <f t="shared" si="18"/>
        <v>3.9514316022829621E-2</v>
      </c>
      <c r="CR25" s="342">
        <f t="shared" si="19"/>
        <v>0.92416299999999996</v>
      </c>
      <c r="DE25" s="1"/>
      <c r="DH25" s="734">
        <v>22</v>
      </c>
      <c r="DI25" s="745">
        <f t="shared" si="20"/>
        <v>22</v>
      </c>
      <c r="DJ25" s="518" t="s">
        <v>429</v>
      </c>
      <c r="DK25" s="344">
        <f t="shared" si="21"/>
        <v>3.9514316022829621E-2</v>
      </c>
      <c r="DL25" s="20">
        <f t="shared" si="77"/>
        <v>12416.767290548338</v>
      </c>
      <c r="DM25" s="344">
        <f t="shared" si="22"/>
        <v>3.8016720834606499E-2</v>
      </c>
      <c r="DN25" s="20">
        <f t="shared" si="23"/>
        <v>73932.008759865377</v>
      </c>
      <c r="DO25" s="344">
        <f t="shared" si="24"/>
        <v>4.4381457738274163E-2</v>
      </c>
      <c r="DP25" s="20">
        <f t="shared" si="25"/>
        <v>143701.46367951136</v>
      </c>
      <c r="DQ25" s="20">
        <f t="shared" si="78"/>
        <v>230050.23972992506</v>
      </c>
      <c r="DR25" s="344">
        <f t="shared" si="26"/>
        <v>4.1851439827942455E-2</v>
      </c>
      <c r="DS25" s="342">
        <f t="shared" si="27"/>
        <v>0.23644699999999999</v>
      </c>
      <c r="DW25" s="734">
        <f t="shared" si="102"/>
        <v>22</v>
      </c>
      <c r="DX25" s="745">
        <f t="shared" si="28"/>
        <v>22</v>
      </c>
      <c r="DY25" s="518" t="s">
        <v>429</v>
      </c>
      <c r="DZ25" s="344">
        <f t="shared" si="29"/>
        <v>3.8016720834606499E-2</v>
      </c>
      <c r="EA25" s="20">
        <f t="shared" si="30"/>
        <v>135998.84898366116</v>
      </c>
      <c r="EB25" s="342">
        <f t="shared" si="31"/>
        <v>0.13977999999999999</v>
      </c>
      <c r="EN25" s="734">
        <f t="shared" si="103"/>
        <v>22</v>
      </c>
      <c r="EO25" s="745">
        <f t="shared" si="32"/>
        <v>22</v>
      </c>
      <c r="EP25" s="518" t="s">
        <v>429</v>
      </c>
      <c r="EQ25" s="344">
        <f t="shared" si="33"/>
        <v>4.6916884850208021E-2</v>
      </c>
      <c r="ER25" s="20">
        <f t="shared" si="34"/>
        <v>334014.13264779304</v>
      </c>
      <c r="ES25" s="344">
        <f t="shared" si="35"/>
        <v>3.9514316022829621E-2</v>
      </c>
      <c r="ET25" s="20">
        <f t="shared" si="36"/>
        <v>37928.787536544034</v>
      </c>
      <c r="EU25" s="344">
        <f t="shared" si="37"/>
        <v>4.4381457738274163E-2</v>
      </c>
      <c r="EV25" s="20">
        <f t="shared" si="38"/>
        <v>114134.0295989836</v>
      </c>
      <c r="EW25" s="20">
        <f t="shared" si="39"/>
        <v>486076.94978332066</v>
      </c>
      <c r="EX25" s="344">
        <f t="shared" si="40"/>
        <v>4.56375645975063E-2</v>
      </c>
      <c r="EY25" s="342">
        <f t="shared" si="41"/>
        <v>0.49959199999999998</v>
      </c>
      <c r="FI25" s="734">
        <f t="shared" si="104"/>
        <v>22</v>
      </c>
      <c r="FJ25" s="735">
        <f t="shared" si="42"/>
        <v>22</v>
      </c>
      <c r="FK25" s="518" t="s">
        <v>429</v>
      </c>
      <c r="FL25" s="344">
        <f t="shared" si="43"/>
        <v>4.6916884850208021E-2</v>
      </c>
      <c r="FM25" s="20">
        <f t="shared" si="44"/>
        <v>881738.50689023593</v>
      </c>
      <c r="FN25" s="342">
        <f t="shared" si="45"/>
        <v>0.90625500000000003</v>
      </c>
      <c r="FR25" s="734">
        <f t="shared" si="105"/>
        <v>22</v>
      </c>
      <c r="FS25" s="735">
        <v>22</v>
      </c>
      <c r="FT25" s="518" t="s">
        <v>429</v>
      </c>
      <c r="FU25" s="20">
        <f t="shared" si="46"/>
        <v>1888323.0807799122</v>
      </c>
      <c r="FV25" s="20">
        <f t="shared" si="47"/>
        <v>761725.72479731706</v>
      </c>
      <c r="FW25" s="20">
        <f t="shared" si="48"/>
        <v>899162.80472597829</v>
      </c>
      <c r="FX25" s="20">
        <f t="shared" si="49"/>
        <v>230050.23972992506</v>
      </c>
      <c r="FY25" s="20">
        <f t="shared" si="50"/>
        <v>135998.84898366116</v>
      </c>
      <c r="FZ25" s="20">
        <f t="shared" si="51"/>
        <v>486076.94978332066</v>
      </c>
      <c r="GA25" s="20">
        <f t="shared" si="52"/>
        <v>881738.50689023593</v>
      </c>
      <c r="GB25" s="20">
        <f t="shared" ref="GB25:GB27" si="119">SUM(FU25:GA25)</f>
        <v>5283076.1556903496</v>
      </c>
      <c r="GC25" s="414">
        <f t="shared" si="54"/>
        <v>5.4299679999999997</v>
      </c>
      <c r="GG25" s="734">
        <f t="shared" si="79"/>
        <v>22</v>
      </c>
      <c r="GH25" s="735">
        <f t="shared" si="55"/>
        <v>22</v>
      </c>
      <c r="GI25" s="518" t="s">
        <v>429</v>
      </c>
      <c r="GJ25" s="342">
        <f t="shared" si="56"/>
        <v>1.9408270000000001</v>
      </c>
      <c r="GK25" s="342">
        <f t="shared" si="57"/>
        <v>0.78290499999999996</v>
      </c>
      <c r="GL25" s="342">
        <f t="shared" si="58"/>
        <v>0.92416299999999996</v>
      </c>
      <c r="GM25" s="342">
        <f t="shared" si="59"/>
        <v>0.23644699999999999</v>
      </c>
      <c r="GN25" s="342">
        <f t="shared" si="60"/>
        <v>0.13977999999999999</v>
      </c>
      <c r="GO25" s="342">
        <f t="shared" si="61"/>
        <v>0.49959199999999998</v>
      </c>
      <c r="GP25" s="342">
        <f t="shared" si="62"/>
        <v>0.90625500000000003</v>
      </c>
      <c r="GQ25" s="342">
        <f t="shared" si="63"/>
        <v>5.4299679999999997</v>
      </c>
      <c r="GR25" s="788">
        <f t="shared" si="80"/>
        <v>97294786.199374646</v>
      </c>
      <c r="GS25" s="716"/>
      <c r="GV25" s="718">
        <f t="shared" si="81"/>
        <v>22</v>
      </c>
      <c r="GW25" s="735">
        <v>22</v>
      </c>
      <c r="GX25" s="518" t="s">
        <v>429</v>
      </c>
      <c r="GY25" s="322" t="s">
        <v>397</v>
      </c>
      <c r="GZ25" s="924">
        <f t="shared" si="82"/>
        <v>5283076.1556903496</v>
      </c>
      <c r="HA25" s="788">
        <f t="shared" si="83"/>
        <v>97294786.199374646</v>
      </c>
      <c r="HB25" s="922">
        <f t="shared" si="109"/>
        <v>5.4299679999999997</v>
      </c>
      <c r="HC25" s="942">
        <f t="shared" si="85"/>
        <v>5283075.7562944591</v>
      </c>
      <c r="HD25" s="858">
        <v>0.21602247189730406</v>
      </c>
      <c r="HE25" s="54"/>
      <c r="HH25" s="54"/>
      <c r="HI25" s="54"/>
      <c r="HJ25" s="54"/>
      <c r="HK25" s="54"/>
      <c r="HL25" s="54"/>
      <c r="HM25" s="54"/>
      <c r="HN25" s="54"/>
      <c r="HQ25" s="734">
        <v>22</v>
      </c>
      <c r="HR25" s="869">
        <v>22</v>
      </c>
      <c r="HS25" s="518" t="s">
        <v>429</v>
      </c>
      <c r="HT25" s="788">
        <f t="shared" si="86"/>
        <v>97294786.199374646</v>
      </c>
      <c r="HU25" s="917">
        <f t="shared" si="87"/>
        <v>5.4299679999999997</v>
      </c>
      <c r="HV25" s="870"/>
      <c r="HW25" s="768"/>
      <c r="HX25" s="870">
        <v>-1.3005939999999994</v>
      </c>
      <c r="HY25" s="769">
        <v>10</v>
      </c>
      <c r="IP25" s="734">
        <v>22</v>
      </c>
      <c r="IQ25" s="869">
        <v>22</v>
      </c>
      <c r="IR25" s="518" t="s">
        <v>429</v>
      </c>
      <c r="IS25" s="913">
        <f t="shared" si="106"/>
        <v>5283075.7562944591</v>
      </c>
      <c r="IT25" s="915">
        <f t="shared" si="88"/>
        <v>97294786.199374646</v>
      </c>
      <c r="IU25" s="919">
        <f t="shared" si="89"/>
        <v>5.4299679999999997</v>
      </c>
      <c r="IV25" s="904">
        <f t="shared" ref="IV25:IV26" si="120">IT25*$IK$4/(1-$IL$4)</f>
        <v>14303395.1890774</v>
      </c>
      <c r="IW25" s="904">
        <f t="shared" si="91"/>
        <v>82991391.010297239</v>
      </c>
      <c r="IX25" s="913">
        <f t="shared" ref="IX25:IX26" si="121">IV25*$II$4</f>
        <v>214550.92783616099</v>
      </c>
      <c r="IY25" s="882">
        <f t="shared" si="93"/>
        <v>5068524.828458298</v>
      </c>
      <c r="IZ25" s="928">
        <f t="shared" ref="IZ25:IZ26" si="122">100*IY25/IT25</f>
        <v>5.209451632970314</v>
      </c>
      <c r="JA25" s="928">
        <f t="shared" ref="JA25:JA26" si="123">IZ25+1.5</f>
        <v>6.709451632970314</v>
      </c>
      <c r="JB25" s="913">
        <f t="shared" si="107"/>
        <v>5283075.7562944591</v>
      </c>
      <c r="JC25" s="414">
        <v>0.22223330814769415</v>
      </c>
      <c r="JG25" s="734">
        <v>22</v>
      </c>
      <c r="JH25" s="869">
        <v>22</v>
      </c>
      <c r="JI25" s="518" t="s">
        <v>429</v>
      </c>
      <c r="JJ25" s="788">
        <f t="shared" si="96"/>
        <v>97294786.199374646</v>
      </c>
      <c r="JK25" s="917">
        <f t="shared" si="97"/>
        <v>5.209451632970314</v>
      </c>
      <c r="JL25" s="870">
        <v>6.5339999999999998</v>
      </c>
      <c r="JM25" s="768"/>
      <c r="JN25" s="870"/>
      <c r="JO25" s="769">
        <v>10</v>
      </c>
      <c r="JT25" s="936">
        <v>16.515133926540258</v>
      </c>
      <c r="JU25" s="936">
        <f t="shared" si="64"/>
        <v>-6.3990706430057998E-2</v>
      </c>
      <c r="JV25" s="13">
        <v>578417</v>
      </c>
      <c r="JW25" s="13">
        <f t="shared" si="65"/>
        <v>8341.6668276690179</v>
      </c>
    </row>
    <row r="26" spans="3:294" x14ac:dyDescent="0.3">
      <c r="J26" s="756">
        <v>23</v>
      </c>
      <c r="K26" s="757">
        <v>23</v>
      </c>
      <c r="L26" s="732" t="s">
        <v>430</v>
      </c>
      <c r="M26" s="904">
        <v>586758.66682766902</v>
      </c>
      <c r="N26" s="944">
        <f t="shared" si="66"/>
        <v>2.6765262550672688E-4</v>
      </c>
      <c r="O26" s="753">
        <v>244.63589743589745</v>
      </c>
      <c r="P26" s="948">
        <f t="shared" si="67"/>
        <v>2398.4978205474476</v>
      </c>
      <c r="Q26" s="733">
        <f t="shared" si="68"/>
        <v>1.3687197150527889E-3</v>
      </c>
      <c r="R26" s="758" t="s">
        <v>397</v>
      </c>
      <c r="V26" s="730">
        <f t="shared" si="98"/>
        <v>23</v>
      </c>
      <c r="W26" s="731">
        <f t="shared" si="0"/>
        <v>23</v>
      </c>
      <c r="X26" s="732" t="s">
        <v>430</v>
      </c>
      <c r="Y26" s="924">
        <f t="shared" si="69"/>
        <v>73879.211458005302</v>
      </c>
      <c r="Z26" s="944">
        <f t="shared" si="70"/>
        <v>8.8530055167714298E-4</v>
      </c>
      <c r="AD26" s="730">
        <v>23</v>
      </c>
      <c r="AE26" s="746">
        <v>23</v>
      </c>
      <c r="AF26" s="747" t="s">
        <v>430</v>
      </c>
      <c r="AG26" s="748">
        <v>10.01</v>
      </c>
      <c r="AQ26" s="730">
        <f t="shared" si="71"/>
        <v>23</v>
      </c>
      <c r="AR26" s="783">
        <f t="shared" si="1"/>
        <v>23</v>
      </c>
      <c r="AS26" s="732" t="s">
        <v>430</v>
      </c>
      <c r="AT26" s="732">
        <f t="shared" si="2"/>
        <v>10.01</v>
      </c>
      <c r="AU26" s="784">
        <f t="shared" si="72"/>
        <v>586758.66682766902</v>
      </c>
      <c r="AV26" s="784">
        <f t="shared" si="99"/>
        <v>1631.5150708180465</v>
      </c>
      <c r="AW26" s="785">
        <f t="shared" si="3"/>
        <v>1698.4143229259939</v>
      </c>
      <c r="AX26" s="786">
        <f t="shared" si="4"/>
        <v>18.238489259491555</v>
      </c>
      <c r="AY26" s="379">
        <f t="shared" si="108"/>
        <v>30976.511386852362</v>
      </c>
      <c r="AZ26" s="51">
        <f t="shared" si="73"/>
        <v>8.6260904191107993E-4</v>
      </c>
      <c r="BA26" s="53">
        <f t="shared" si="5"/>
        <v>5.2792589999999997</v>
      </c>
      <c r="BL26" s="756">
        <f t="shared" si="100"/>
        <v>23</v>
      </c>
      <c r="BM26" s="758">
        <f t="shared" si="6"/>
        <v>23</v>
      </c>
      <c r="BN26" s="732" t="s">
        <v>430</v>
      </c>
      <c r="BO26" s="733">
        <f t="shared" si="7"/>
        <v>8.6260904191107993E-4</v>
      </c>
      <c r="BP26" s="379">
        <f t="shared" si="74"/>
        <v>6776.3106674768933</v>
      </c>
      <c r="BQ26" s="733">
        <f t="shared" si="8"/>
        <v>2.6765262550672688E-4</v>
      </c>
      <c r="BR26" s="379">
        <f t="shared" si="75"/>
        <v>2102.5716788004552</v>
      </c>
      <c r="BS26" s="807">
        <f t="shared" si="9"/>
        <v>8878.8823462773489</v>
      </c>
      <c r="BT26" s="808">
        <f t="shared" si="10"/>
        <v>1.513209</v>
      </c>
      <c r="BW26" s="1"/>
      <c r="BX26" s="10"/>
      <c r="BY26" s="10"/>
      <c r="BZ26" s="10"/>
      <c r="CA26" s="10"/>
      <c r="CB26" s="10"/>
      <c r="CC26" s="10"/>
      <c r="CD26" s="10"/>
      <c r="CE26" s="10"/>
      <c r="CI26" s="730">
        <f t="shared" si="101"/>
        <v>23</v>
      </c>
      <c r="CJ26" s="746">
        <f t="shared" si="12"/>
        <v>23</v>
      </c>
      <c r="CK26" s="732" t="s">
        <v>430</v>
      </c>
      <c r="CL26" s="733">
        <f t="shared" si="13"/>
        <v>2.6765262550672688E-4</v>
      </c>
      <c r="CM26" s="379">
        <f t="shared" si="14"/>
        <v>1433.0764269545211</v>
      </c>
      <c r="CN26" s="733">
        <f t="shared" si="15"/>
        <v>1.3687197150527889E-3</v>
      </c>
      <c r="CO26" s="379">
        <f t="shared" si="16"/>
        <v>23817.266868838433</v>
      </c>
      <c r="CP26" s="379">
        <f t="shared" si="17"/>
        <v>25250.343295792954</v>
      </c>
      <c r="CQ26" s="733">
        <f t="shared" si="18"/>
        <v>1.1096433698444259E-3</v>
      </c>
      <c r="CR26" s="808">
        <f t="shared" si="19"/>
        <v>4.3033609999999998</v>
      </c>
      <c r="DE26" s="1"/>
      <c r="DH26" s="730">
        <v>23</v>
      </c>
      <c r="DI26" s="840">
        <f t="shared" si="20"/>
        <v>23</v>
      </c>
      <c r="DJ26" s="732" t="s">
        <v>430</v>
      </c>
      <c r="DK26" s="733">
        <f t="shared" si="21"/>
        <v>1.1096433698444259E-3</v>
      </c>
      <c r="DL26" s="379">
        <f t="shared" si="77"/>
        <v>348.68839665344774</v>
      </c>
      <c r="DM26" s="733">
        <f t="shared" si="22"/>
        <v>1.3687197150527889E-3</v>
      </c>
      <c r="DN26" s="379">
        <f t="shared" si="23"/>
        <v>2661.7813357265759</v>
      </c>
      <c r="DO26" s="733">
        <f t="shared" si="24"/>
        <v>2.6765262550672688E-4</v>
      </c>
      <c r="DP26" s="379">
        <f t="shared" si="25"/>
        <v>866.62484747118674</v>
      </c>
      <c r="DQ26" s="379">
        <f t="shared" si="78"/>
        <v>3877.0945798512103</v>
      </c>
      <c r="DR26" s="733">
        <f t="shared" si="26"/>
        <v>7.0533284688760803E-4</v>
      </c>
      <c r="DS26" s="808">
        <f t="shared" si="27"/>
        <v>0.66076500000000005</v>
      </c>
      <c r="DW26" s="730">
        <f t="shared" si="102"/>
        <v>23</v>
      </c>
      <c r="DX26" s="840">
        <f t="shared" si="28"/>
        <v>23</v>
      </c>
      <c r="DY26" s="732" t="s">
        <v>430</v>
      </c>
      <c r="DZ26" s="733">
        <f t="shared" si="29"/>
        <v>1.3687197150527889E-3</v>
      </c>
      <c r="EA26" s="379">
        <f t="shared" si="30"/>
        <v>4896.3798492314309</v>
      </c>
      <c r="EB26" s="808">
        <f t="shared" si="31"/>
        <v>0.83447899999999997</v>
      </c>
      <c r="EN26" s="730">
        <f t="shared" si="103"/>
        <v>23</v>
      </c>
      <c r="EO26" s="840">
        <f t="shared" si="32"/>
        <v>23</v>
      </c>
      <c r="EP26" s="732" t="s">
        <v>430</v>
      </c>
      <c r="EQ26" s="733">
        <f t="shared" si="33"/>
        <v>8.8530055167714298E-4</v>
      </c>
      <c r="ER26" s="379">
        <f t="shared" si="34"/>
        <v>6302.6967123914346</v>
      </c>
      <c r="ES26" s="733">
        <f t="shared" si="35"/>
        <v>1.1096433698444259E-3</v>
      </c>
      <c r="ET26" s="379">
        <f t="shared" si="36"/>
        <v>1065.1184647065061</v>
      </c>
      <c r="EU26" s="733">
        <f t="shared" si="37"/>
        <v>2.6765262550672688E-4</v>
      </c>
      <c r="EV26" s="379">
        <f t="shared" si="38"/>
        <v>688.3116111683255</v>
      </c>
      <c r="EW26" s="379">
        <f t="shared" si="39"/>
        <v>8056.126788266266</v>
      </c>
      <c r="EX26" s="733">
        <f t="shared" si="40"/>
        <v>7.5638642578936531E-4</v>
      </c>
      <c r="EY26" s="808">
        <f t="shared" si="41"/>
        <v>1.3729880000000001</v>
      </c>
      <c r="FI26" s="730">
        <f t="shared" si="104"/>
        <v>23</v>
      </c>
      <c r="FJ26" s="731">
        <f t="shared" si="42"/>
        <v>23</v>
      </c>
      <c r="FK26" s="732" t="s">
        <v>430</v>
      </c>
      <c r="FL26" s="733">
        <f t="shared" si="43"/>
        <v>8.8530055167714298E-4</v>
      </c>
      <c r="FM26" s="379">
        <f t="shared" si="44"/>
        <v>16638.009728845947</v>
      </c>
      <c r="FN26" s="808">
        <f t="shared" si="45"/>
        <v>2.8355800000000002</v>
      </c>
      <c r="FR26" s="730">
        <f t="shared" si="105"/>
        <v>23</v>
      </c>
      <c r="FS26" s="731">
        <v>23</v>
      </c>
      <c r="FT26" s="732" t="s">
        <v>430</v>
      </c>
      <c r="FU26" s="379">
        <f t="shared" si="46"/>
        <v>30976.511386852362</v>
      </c>
      <c r="FV26" s="379">
        <f t="shared" si="47"/>
        <v>8878.8823462773489</v>
      </c>
      <c r="FW26" s="379">
        <f t="shared" si="48"/>
        <v>25250.343295792954</v>
      </c>
      <c r="FX26" s="379">
        <f t="shared" si="49"/>
        <v>3877.0945798512103</v>
      </c>
      <c r="FY26" s="379">
        <f t="shared" si="50"/>
        <v>4896.3798492314309</v>
      </c>
      <c r="FZ26" s="379">
        <f t="shared" si="51"/>
        <v>8056.126788266266</v>
      </c>
      <c r="GA26" s="379">
        <f t="shared" si="52"/>
        <v>16638.009728845947</v>
      </c>
      <c r="GB26" s="379">
        <f t="shared" si="119"/>
        <v>98573.347975117518</v>
      </c>
      <c r="GC26" s="852">
        <f t="shared" si="54"/>
        <v>16.799641000000001</v>
      </c>
      <c r="GG26" s="730">
        <f t="shared" si="79"/>
        <v>23</v>
      </c>
      <c r="GH26" s="731">
        <f t="shared" si="55"/>
        <v>23</v>
      </c>
      <c r="GI26" s="732" t="s">
        <v>430</v>
      </c>
      <c r="GJ26" s="808">
        <f t="shared" si="56"/>
        <v>5.2792589999999997</v>
      </c>
      <c r="GK26" s="808">
        <f t="shared" si="57"/>
        <v>1.513209</v>
      </c>
      <c r="GL26" s="808">
        <f t="shared" si="58"/>
        <v>4.3033609999999998</v>
      </c>
      <c r="GM26" s="808">
        <f t="shared" si="59"/>
        <v>0.66076500000000005</v>
      </c>
      <c r="GN26" s="808">
        <f t="shared" si="60"/>
        <v>0.83447899999999997</v>
      </c>
      <c r="GO26" s="808">
        <f t="shared" si="61"/>
        <v>1.3729880000000001</v>
      </c>
      <c r="GP26" s="808">
        <f t="shared" si="62"/>
        <v>2.8355800000000002</v>
      </c>
      <c r="GQ26" s="808">
        <f t="shared" si="63"/>
        <v>16.799641000000001</v>
      </c>
      <c r="GR26" s="784">
        <f t="shared" si="80"/>
        <v>586758.66682766902</v>
      </c>
      <c r="GS26" s="716"/>
      <c r="GV26" s="717">
        <f t="shared" si="81"/>
        <v>23</v>
      </c>
      <c r="GW26" s="731">
        <v>23</v>
      </c>
      <c r="GX26" s="732" t="s">
        <v>430</v>
      </c>
      <c r="GY26" s="758" t="s">
        <v>397</v>
      </c>
      <c r="GZ26" s="906">
        <f t="shared" si="82"/>
        <v>98573.347975117518</v>
      </c>
      <c r="HA26" s="784">
        <f t="shared" si="83"/>
        <v>586758.66682766902</v>
      </c>
      <c r="HB26" s="922">
        <f t="shared" si="109"/>
        <v>16.799641000000001</v>
      </c>
      <c r="HC26" s="942">
        <f t="shared" si="85"/>
        <v>98573.349563434502</v>
      </c>
      <c r="HD26" s="857">
        <v>-1.6334650717908517E-3</v>
      </c>
      <c r="HE26" s="54"/>
      <c r="HH26" s="54"/>
      <c r="HI26" s="54"/>
      <c r="HJ26" s="54"/>
      <c r="HK26" s="54"/>
      <c r="HL26" s="54"/>
      <c r="HM26" s="54"/>
      <c r="HN26" s="54"/>
      <c r="HQ26" s="730">
        <v>23</v>
      </c>
      <c r="HR26" s="867">
        <v>23</v>
      </c>
      <c r="HS26" s="732" t="s">
        <v>430</v>
      </c>
      <c r="HT26" s="784">
        <f t="shared" si="86"/>
        <v>586758.66682766902</v>
      </c>
      <c r="HU26" s="917">
        <f t="shared" si="87"/>
        <v>16.799641000000001</v>
      </c>
      <c r="HV26" s="868"/>
      <c r="HW26" s="765"/>
      <c r="HX26" s="868">
        <v>-2.4698649999999986</v>
      </c>
      <c r="HY26" s="766">
        <v>25</v>
      </c>
      <c r="IP26" s="730">
        <v>23</v>
      </c>
      <c r="IQ26" s="867">
        <v>23</v>
      </c>
      <c r="IR26" s="732" t="s">
        <v>430</v>
      </c>
      <c r="IS26" s="913">
        <f t="shared" si="106"/>
        <v>98573.349563434502</v>
      </c>
      <c r="IT26" s="915">
        <f t="shared" si="88"/>
        <v>586758.66682766902</v>
      </c>
      <c r="IU26" s="918">
        <f t="shared" si="89"/>
        <v>16.799641000000001</v>
      </c>
      <c r="IV26" s="904">
        <f t="shared" si="120"/>
        <v>86259.926354679556</v>
      </c>
      <c r="IW26" s="904">
        <f t="shared" si="91"/>
        <v>500498.74047298945</v>
      </c>
      <c r="IX26" s="913">
        <f t="shared" si="121"/>
        <v>1293.8988953201933</v>
      </c>
      <c r="IY26" s="881">
        <f t="shared" si="93"/>
        <v>97279.45066811431</v>
      </c>
      <c r="IZ26" s="928">
        <f t="shared" si="122"/>
        <v>16.579124632970316</v>
      </c>
      <c r="JA26" s="928">
        <f t="shared" si="123"/>
        <v>18.079124632970316</v>
      </c>
      <c r="JB26" s="913">
        <f t="shared" si="107"/>
        <v>98573.349563434502</v>
      </c>
      <c r="JC26" s="852">
        <v>0.2222328177184707</v>
      </c>
      <c r="JG26" s="730">
        <v>23</v>
      </c>
      <c r="JH26" s="867">
        <v>23</v>
      </c>
      <c r="JI26" s="732" t="s">
        <v>430</v>
      </c>
      <c r="JJ26" s="784">
        <f t="shared" si="96"/>
        <v>586758.66682766902</v>
      </c>
      <c r="JK26" s="917">
        <f t="shared" si="97"/>
        <v>16.579124632970316</v>
      </c>
      <c r="JL26" s="868">
        <v>19.138999999999999</v>
      </c>
      <c r="JM26" s="765"/>
      <c r="JN26" s="868"/>
      <c r="JO26" s="766">
        <v>25</v>
      </c>
      <c r="JT26" s="936">
        <v>0</v>
      </c>
      <c r="JU26" s="936">
        <f t="shared" si="64"/>
        <v>0</v>
      </c>
      <c r="JV26" s="13">
        <v>0</v>
      </c>
      <c r="JW26" s="13">
        <f t="shared" si="65"/>
        <v>0</v>
      </c>
    </row>
    <row r="27" spans="3:294" ht="17.25" thickBot="1" x14ac:dyDescent="0.35">
      <c r="J27" s="456">
        <v>24</v>
      </c>
      <c r="K27" s="760">
        <v>24</v>
      </c>
      <c r="L27" s="565" t="s">
        <v>431</v>
      </c>
      <c r="M27" s="905"/>
      <c r="N27" s="945">
        <f t="shared" si="66"/>
        <v>0</v>
      </c>
      <c r="O27" s="754">
        <v>576</v>
      </c>
      <c r="P27" s="949">
        <f t="shared" si="67"/>
        <v>0</v>
      </c>
      <c r="Q27" s="697">
        <f t="shared" si="68"/>
        <v>0</v>
      </c>
      <c r="R27" s="553" t="s">
        <v>402</v>
      </c>
      <c r="V27" s="736">
        <f t="shared" si="98"/>
        <v>24</v>
      </c>
      <c r="W27" s="737">
        <f t="shared" si="0"/>
        <v>24</v>
      </c>
      <c r="X27" s="565" t="s">
        <v>431</v>
      </c>
      <c r="Y27" s="924">
        <f t="shared" si="69"/>
        <v>0</v>
      </c>
      <c r="Z27" s="945">
        <f t="shared" si="70"/>
        <v>0</v>
      </c>
      <c r="AD27" s="749">
        <v>24</v>
      </c>
      <c r="AE27" s="750">
        <v>24</v>
      </c>
      <c r="AF27" s="751" t="s">
        <v>431</v>
      </c>
      <c r="AG27" s="752">
        <v>5.4</v>
      </c>
      <c r="AQ27" s="736">
        <f t="shared" si="71"/>
        <v>24</v>
      </c>
      <c r="AR27" s="791">
        <f t="shared" si="1"/>
        <v>24</v>
      </c>
      <c r="AS27" s="565" t="s">
        <v>431</v>
      </c>
      <c r="AT27" s="565">
        <f t="shared" si="2"/>
        <v>5.4</v>
      </c>
      <c r="AU27" s="792">
        <f t="shared" si="72"/>
        <v>0</v>
      </c>
      <c r="AV27" s="792">
        <f t="shared" si="99"/>
        <v>0</v>
      </c>
      <c r="AW27" s="793">
        <f t="shared" si="3"/>
        <v>0</v>
      </c>
      <c r="AX27" s="794">
        <f t="shared" si="4"/>
        <v>18.238489259491555</v>
      </c>
      <c r="AY27" s="571">
        <f t="shared" si="108"/>
        <v>0</v>
      </c>
      <c r="AZ27" s="56">
        <f t="shared" si="73"/>
        <v>0</v>
      </c>
      <c r="BA27" s="68">
        <f t="shared" si="5"/>
        <v>0</v>
      </c>
      <c r="BE27" s="1"/>
      <c r="BF27" s="1"/>
      <c r="BG27" s="1"/>
      <c r="BH27" s="1"/>
      <c r="BL27" s="456">
        <f t="shared" si="100"/>
        <v>24</v>
      </c>
      <c r="BM27" s="553">
        <f t="shared" si="6"/>
        <v>24</v>
      </c>
      <c r="BN27" s="565" t="s">
        <v>431</v>
      </c>
      <c r="BO27" s="697">
        <f t="shared" si="7"/>
        <v>0</v>
      </c>
      <c r="BP27" s="571">
        <f t="shared" si="74"/>
        <v>0</v>
      </c>
      <c r="BQ27" s="697">
        <f t="shared" si="8"/>
        <v>0</v>
      </c>
      <c r="BR27" s="571">
        <f t="shared" si="75"/>
        <v>0</v>
      </c>
      <c r="BS27" s="811">
        <f t="shared" si="9"/>
        <v>0</v>
      </c>
      <c r="BT27" s="812">
        <f>IF($AU27=0,0,ROUND(IF(VLOOKUP(BM27,$AR$4:$AU$27,$BA$30,FALSE)&lt;&gt;0,BS27/VLOOKUP(BM27,$AR$4:$AU$27,$BA$30,FALSE)*100,""),6))</f>
        <v>0</v>
      </c>
      <c r="BW27" s="1"/>
      <c r="BX27" s="10"/>
      <c r="BY27" s="10"/>
      <c r="BZ27" s="10"/>
      <c r="CA27" s="10"/>
      <c r="CB27" s="10"/>
      <c r="CC27" s="10"/>
      <c r="CD27" s="10"/>
      <c r="CE27" s="10"/>
      <c r="CI27" s="736">
        <f t="shared" si="101"/>
        <v>24</v>
      </c>
      <c r="CJ27" s="829">
        <f t="shared" si="12"/>
        <v>24</v>
      </c>
      <c r="CK27" s="565" t="s">
        <v>431</v>
      </c>
      <c r="CL27" s="556">
        <f t="shared" si="13"/>
        <v>0</v>
      </c>
      <c r="CM27" s="458">
        <f t="shared" si="14"/>
        <v>0</v>
      </c>
      <c r="CN27" s="556">
        <f t="shared" si="15"/>
        <v>0</v>
      </c>
      <c r="CO27" s="458">
        <f t="shared" si="16"/>
        <v>0</v>
      </c>
      <c r="CP27" s="458">
        <f t="shared" si="17"/>
        <v>0</v>
      </c>
      <c r="CQ27" s="556">
        <f t="shared" si="18"/>
        <v>0</v>
      </c>
      <c r="CR27" s="555">
        <f t="shared" si="19"/>
        <v>0</v>
      </c>
      <c r="DE27" s="1"/>
      <c r="DH27" s="736">
        <v>24</v>
      </c>
      <c r="DI27" s="841">
        <f t="shared" si="20"/>
        <v>24</v>
      </c>
      <c r="DJ27" s="565" t="s">
        <v>431</v>
      </c>
      <c r="DK27" s="556">
        <f t="shared" si="21"/>
        <v>0</v>
      </c>
      <c r="DL27" s="458">
        <f t="shared" si="77"/>
        <v>0</v>
      </c>
      <c r="DM27" s="556">
        <f t="shared" si="22"/>
        <v>0</v>
      </c>
      <c r="DN27" s="458">
        <f t="shared" si="23"/>
        <v>0</v>
      </c>
      <c r="DO27" s="556">
        <f t="shared" si="24"/>
        <v>0</v>
      </c>
      <c r="DP27" s="458">
        <f t="shared" si="25"/>
        <v>0</v>
      </c>
      <c r="DQ27" s="458">
        <f t="shared" si="78"/>
        <v>0</v>
      </c>
      <c r="DR27" s="556">
        <f t="shared" si="26"/>
        <v>0</v>
      </c>
      <c r="DS27" s="555">
        <f t="shared" si="27"/>
        <v>0</v>
      </c>
      <c r="DW27" s="736">
        <f t="shared" si="102"/>
        <v>24</v>
      </c>
      <c r="DX27" s="841">
        <f t="shared" si="28"/>
        <v>24</v>
      </c>
      <c r="DY27" s="565" t="s">
        <v>431</v>
      </c>
      <c r="DZ27" s="556">
        <f t="shared" si="29"/>
        <v>0</v>
      </c>
      <c r="EA27" s="458">
        <f t="shared" si="30"/>
        <v>0</v>
      </c>
      <c r="EB27" s="555">
        <f t="shared" si="31"/>
        <v>0</v>
      </c>
      <c r="EN27" s="736">
        <f t="shared" si="103"/>
        <v>24</v>
      </c>
      <c r="EO27" s="841">
        <f t="shared" si="32"/>
        <v>24</v>
      </c>
      <c r="EP27" s="565" t="s">
        <v>431</v>
      </c>
      <c r="EQ27" s="556">
        <f t="shared" si="33"/>
        <v>0</v>
      </c>
      <c r="ER27" s="458">
        <f t="shared" si="34"/>
        <v>0</v>
      </c>
      <c r="ES27" s="556">
        <f t="shared" si="35"/>
        <v>0</v>
      </c>
      <c r="ET27" s="458">
        <f t="shared" si="36"/>
        <v>0</v>
      </c>
      <c r="EU27" s="556">
        <f t="shared" si="37"/>
        <v>0</v>
      </c>
      <c r="EV27" s="458">
        <f t="shared" si="38"/>
        <v>0</v>
      </c>
      <c r="EW27" s="458">
        <f t="shared" si="39"/>
        <v>0</v>
      </c>
      <c r="EX27" s="556">
        <f t="shared" si="40"/>
        <v>0</v>
      </c>
      <c r="EY27" s="555">
        <f t="shared" si="41"/>
        <v>0</v>
      </c>
      <c r="FI27" s="736">
        <f t="shared" si="104"/>
        <v>24</v>
      </c>
      <c r="FJ27" s="737">
        <f t="shared" si="42"/>
        <v>24</v>
      </c>
      <c r="FK27" s="565" t="s">
        <v>431</v>
      </c>
      <c r="FL27" s="556">
        <f t="shared" si="43"/>
        <v>0</v>
      </c>
      <c r="FM27" s="458">
        <f t="shared" si="44"/>
        <v>0</v>
      </c>
      <c r="FN27" s="555">
        <f t="shared" si="45"/>
        <v>0</v>
      </c>
      <c r="FR27" s="736">
        <f t="shared" si="105"/>
        <v>24</v>
      </c>
      <c r="FS27" s="737">
        <v>24</v>
      </c>
      <c r="FT27" s="565" t="s">
        <v>431</v>
      </c>
      <c r="FU27" s="458">
        <f t="shared" si="46"/>
        <v>0</v>
      </c>
      <c r="FV27" s="458">
        <f t="shared" si="47"/>
        <v>0</v>
      </c>
      <c r="FW27" s="458">
        <f t="shared" si="48"/>
        <v>0</v>
      </c>
      <c r="FX27" s="458">
        <f t="shared" si="49"/>
        <v>0</v>
      </c>
      <c r="FY27" s="458">
        <f t="shared" si="50"/>
        <v>0</v>
      </c>
      <c r="FZ27" s="458">
        <f t="shared" si="51"/>
        <v>0</v>
      </c>
      <c r="GA27" s="458">
        <f t="shared" si="52"/>
        <v>0</v>
      </c>
      <c r="GB27" s="458">
        <f t="shared" si="119"/>
        <v>0</v>
      </c>
      <c r="GC27" s="853">
        <f t="shared" si="54"/>
        <v>0</v>
      </c>
      <c r="GG27" s="736">
        <f t="shared" si="79"/>
        <v>24</v>
      </c>
      <c r="GH27" s="737">
        <f t="shared" si="55"/>
        <v>24</v>
      </c>
      <c r="GI27" s="565" t="s">
        <v>431</v>
      </c>
      <c r="GJ27" s="555">
        <f t="shared" si="56"/>
        <v>0</v>
      </c>
      <c r="GK27" s="555">
        <f t="shared" si="57"/>
        <v>0</v>
      </c>
      <c r="GL27" s="555">
        <f t="shared" si="58"/>
        <v>0</v>
      </c>
      <c r="GM27" s="555">
        <f t="shared" si="59"/>
        <v>0</v>
      </c>
      <c r="GN27" s="555">
        <f t="shared" si="60"/>
        <v>0</v>
      </c>
      <c r="GO27" s="555">
        <f t="shared" si="61"/>
        <v>0</v>
      </c>
      <c r="GP27" s="555">
        <f t="shared" si="62"/>
        <v>0</v>
      </c>
      <c r="GQ27" s="555">
        <f t="shared" si="63"/>
        <v>0</v>
      </c>
      <c r="GR27" s="792">
        <f t="shared" si="80"/>
        <v>0</v>
      </c>
      <c r="GS27" s="716"/>
      <c r="GV27" s="719">
        <f t="shared" si="81"/>
        <v>24</v>
      </c>
      <c r="GW27" s="737">
        <v>24</v>
      </c>
      <c r="GX27" s="565" t="s">
        <v>431</v>
      </c>
      <c r="GY27" s="553" t="s">
        <v>402</v>
      </c>
      <c r="GZ27" s="925">
        <f t="shared" si="82"/>
        <v>0</v>
      </c>
      <c r="HA27" s="792">
        <f t="shared" si="83"/>
        <v>0</v>
      </c>
      <c r="HB27" s="922">
        <f t="shared" si="109"/>
        <v>0</v>
      </c>
      <c r="HC27" s="942">
        <f t="shared" si="85"/>
        <v>0</v>
      </c>
      <c r="HD27" s="859">
        <v>1.3251176715129986E-3</v>
      </c>
      <c r="HE27" s="54"/>
      <c r="HH27" s="54"/>
      <c r="HI27" s="54"/>
      <c r="HJ27" s="54"/>
      <c r="HK27" s="54"/>
      <c r="HL27" s="54"/>
      <c r="HM27" s="54"/>
      <c r="HN27" s="54"/>
      <c r="HQ27" s="734">
        <v>24</v>
      </c>
      <c r="HR27" s="869">
        <v>24</v>
      </c>
      <c r="HS27" s="518" t="s">
        <v>431</v>
      </c>
      <c r="HT27" s="792">
        <f t="shared" si="86"/>
        <v>0</v>
      </c>
      <c r="HU27" s="917">
        <f t="shared" si="87"/>
        <v>0</v>
      </c>
      <c r="HV27" s="870"/>
      <c r="HW27" s="768"/>
      <c r="HX27" s="870">
        <v>-1.5297739999999997</v>
      </c>
      <c r="HY27" s="769">
        <v>10</v>
      </c>
      <c r="IP27" s="736">
        <v>24</v>
      </c>
      <c r="IQ27" s="884">
        <v>24</v>
      </c>
      <c r="IR27" s="565" t="s">
        <v>431</v>
      </c>
      <c r="IS27" s="914">
        <f t="shared" si="106"/>
        <v>0</v>
      </c>
      <c r="IT27" s="916">
        <f t="shared" si="88"/>
        <v>0</v>
      </c>
      <c r="IU27" s="920">
        <f t="shared" si="89"/>
        <v>0</v>
      </c>
      <c r="IV27" s="905">
        <v>0</v>
      </c>
      <c r="IW27" s="905">
        <f t="shared" si="91"/>
        <v>0</v>
      </c>
      <c r="IX27" s="914">
        <v>0</v>
      </c>
      <c r="IY27" s="885">
        <f t="shared" si="93"/>
        <v>0</v>
      </c>
      <c r="IZ27" s="928">
        <f>IU27</f>
        <v>0</v>
      </c>
      <c r="JA27" s="929">
        <f>IZ27</f>
        <v>0</v>
      </c>
      <c r="JB27" s="914">
        <f t="shared" si="107"/>
        <v>0</v>
      </c>
      <c r="JC27" s="886">
        <v>0</v>
      </c>
      <c r="JG27" s="734">
        <v>24</v>
      </c>
      <c r="JH27" s="869">
        <v>24</v>
      </c>
      <c r="JI27" s="518" t="s">
        <v>431</v>
      </c>
      <c r="JJ27" s="792">
        <f t="shared" si="96"/>
        <v>0</v>
      </c>
      <c r="JK27" s="917">
        <f t="shared" si="97"/>
        <v>0</v>
      </c>
      <c r="JL27" s="870">
        <v>10.321</v>
      </c>
      <c r="JM27" s="768"/>
      <c r="JN27" s="870"/>
      <c r="JO27" s="769">
        <v>10</v>
      </c>
      <c r="JT27" s="937">
        <v>4.9211555552511586</v>
      </c>
      <c r="JU27" s="937">
        <f t="shared" si="64"/>
        <v>-1.1509823588110812E-2</v>
      </c>
      <c r="JV27" s="938">
        <f>SUM(JV3:JV26)</f>
        <v>2202811268</v>
      </c>
      <c r="JW27" s="938">
        <f t="shared" si="65"/>
        <v>-10571734.698945045</v>
      </c>
    </row>
    <row r="28" spans="3:294" ht="17.25" thickBot="1" x14ac:dyDescent="0.35">
      <c r="G28" s="1"/>
      <c r="I28" s="1"/>
      <c r="J28" s="738">
        <v>25</v>
      </c>
      <c r="K28" s="761"/>
      <c r="L28" s="762" t="s">
        <v>72</v>
      </c>
      <c r="M28" s="755">
        <f>SUM(M4:M27)</f>
        <v>2192239533.301055</v>
      </c>
      <c r="N28" s="742">
        <v>0.99999999999999967</v>
      </c>
      <c r="O28" s="755">
        <v>18014.483727240997</v>
      </c>
      <c r="P28" s="755">
        <f>SUM(P4:P27)</f>
        <v>1752365.9476585696</v>
      </c>
      <c r="Q28" s="742">
        <f>SUM(Q4:Q27)</f>
        <v>1</v>
      </c>
      <c r="R28" s="763"/>
      <c r="S28" s="1"/>
      <c r="U28" s="1"/>
      <c r="V28" s="738">
        <f>+V27+1</f>
        <v>25</v>
      </c>
      <c r="W28" s="739"/>
      <c r="X28" s="740" t="s">
        <v>72</v>
      </c>
      <c r="Y28" s="939">
        <f>SUM(Y4:Y27)</f>
        <v>83450994.487743244</v>
      </c>
      <c r="Z28" s="742">
        <v>0.99999999999999967</v>
      </c>
      <c r="AA28" s="1"/>
      <c r="AC28" s="1"/>
      <c r="AD28" s="720"/>
      <c r="AH28" s="1"/>
      <c r="AJ28" s="1"/>
      <c r="AK28" s="1"/>
      <c r="AL28" s="1"/>
      <c r="AM28" s="1"/>
      <c r="AQ28" s="738">
        <f>+AQ27+1</f>
        <v>25</v>
      </c>
      <c r="AR28" s="795"/>
      <c r="AS28" s="796" t="s">
        <v>72</v>
      </c>
      <c r="AT28" s="797">
        <f>AM7</f>
        <v>3.1019864894695965</v>
      </c>
      <c r="AU28" s="755">
        <f>SUM(AU4:AU27)</f>
        <v>2192239533.301055</v>
      </c>
      <c r="AV28" s="755">
        <f>SUM(AV4:AV27)</f>
        <v>1891372.558770637</v>
      </c>
      <c r="AW28" s="755">
        <f>SUM(AW4:AW27)</f>
        <v>1968927.1041759739</v>
      </c>
      <c r="AX28" s="798">
        <f>SUMPRODUCT(AX4:AX27,AU4:AU27)/AU28</f>
        <v>18.238489259491558</v>
      </c>
      <c r="AY28" s="799">
        <f>SUM(AY4:AY27)</f>
        <v>35910255.842235312</v>
      </c>
      <c r="AZ28" s="73">
        <f t="shared" si="73"/>
        <v>1</v>
      </c>
      <c r="BA28" s="74">
        <f>AY28*100/$M$28</f>
        <v>1.6380625974827654</v>
      </c>
      <c r="BB28" s="1"/>
      <c r="BD28" s="1"/>
      <c r="BE28" s="49"/>
      <c r="BF28" s="49"/>
      <c r="BG28" s="49"/>
      <c r="BH28" s="49"/>
      <c r="BI28" s="1"/>
      <c r="BK28" s="1"/>
      <c r="BL28" s="813">
        <f>+BL27+1</f>
        <v>25</v>
      </c>
      <c r="BM28" s="814"/>
      <c r="BN28" s="815" t="s">
        <v>72</v>
      </c>
      <c r="BO28" s="816">
        <f>SUM(BO4:BO27)</f>
        <v>1</v>
      </c>
      <c r="BP28" s="817">
        <f>BH4</f>
        <v>7855598.930964387</v>
      </c>
      <c r="BQ28" s="818">
        <f>SUM(BQ4:BQ27)</f>
        <v>1</v>
      </c>
      <c r="BR28" s="817">
        <f>BH5</f>
        <v>7855598.930964387</v>
      </c>
      <c r="BS28" s="819">
        <f>D6</f>
        <v>15711197.861928774</v>
      </c>
      <c r="BT28" s="820">
        <f>BS28*100/$M$28</f>
        <v>0.71667341197296031</v>
      </c>
      <c r="BU28" s="1"/>
      <c r="BW28" s="1"/>
      <c r="BX28" s="10"/>
      <c r="BY28" s="10"/>
      <c r="BZ28" s="10"/>
      <c r="CA28" s="10"/>
      <c r="CB28" s="10"/>
      <c r="CC28" s="10"/>
      <c r="CD28" s="10"/>
      <c r="CE28" s="10"/>
      <c r="CF28" s="1"/>
      <c r="CI28" s="738">
        <f>CI27+1</f>
        <v>25</v>
      </c>
      <c r="CJ28" s="739"/>
      <c r="CK28" s="762" t="s">
        <v>72</v>
      </c>
      <c r="CL28" s="830">
        <f>SUM(CL4:CL27)</f>
        <v>1</v>
      </c>
      <c r="CM28" s="817">
        <f>CD9</f>
        <v>5354240.1246443363</v>
      </c>
      <c r="CN28" s="830">
        <f>SUM(CN4:CN27)</f>
        <v>1</v>
      </c>
      <c r="CO28" s="817">
        <f>CE9</f>
        <v>17401127.935035147</v>
      </c>
      <c r="CP28" s="817">
        <f>SUM(CP4:CP27)</f>
        <v>22755368.059679482</v>
      </c>
      <c r="CQ28" s="830">
        <f>SUM(CQ4:CQ27)</f>
        <v>1</v>
      </c>
      <c r="CR28" s="820">
        <f>CP28*100/$M$28</f>
        <v>1.0379964284931333</v>
      </c>
      <c r="CU28" s="1"/>
      <c r="DE28" s="1"/>
      <c r="DG28" s="78"/>
      <c r="DH28" s="738">
        <v>25</v>
      </c>
      <c r="DI28" s="71"/>
      <c r="DJ28" s="72" t="s">
        <v>72</v>
      </c>
      <c r="DK28" s="77">
        <f>SUM(DK4:DK27)</f>
        <v>1</v>
      </c>
      <c r="DL28" s="60">
        <f>DA7</f>
        <v>314234.65063584753</v>
      </c>
      <c r="DM28" s="77">
        <f>SUM(DM4:DM27)</f>
        <v>1</v>
      </c>
      <c r="DN28" s="60">
        <f>DB7</f>
        <v>1944723.4568575758</v>
      </c>
      <c r="DO28" s="77">
        <f>SUM(DO4:DO27)</f>
        <v>1</v>
      </c>
      <c r="DP28" s="60">
        <f>DC7</f>
        <v>3237871.6473655738</v>
      </c>
      <c r="DQ28" s="60">
        <f>SUM(DQ4:DQ27)</f>
        <v>5496829.7548589986</v>
      </c>
      <c r="DR28" s="77">
        <f>SUM(DR4:DR27)</f>
        <v>0.99999999999999978</v>
      </c>
      <c r="DS28" s="76">
        <f>DQ28*100/$M$28</f>
        <v>0.25074038084615324</v>
      </c>
      <c r="DT28" s="49"/>
      <c r="DV28" s="49"/>
      <c r="DW28" s="738">
        <f>DW27+1</f>
        <v>25</v>
      </c>
      <c r="DX28" s="71"/>
      <c r="DY28" s="72" t="s">
        <v>72</v>
      </c>
      <c r="DZ28" s="77">
        <f>SUM(DZ4:DZ27)</f>
        <v>1</v>
      </c>
      <c r="EA28" s="60">
        <f>D9</f>
        <v>3577342.9690406607</v>
      </c>
      <c r="EB28" s="76">
        <f>EA28*100/$M$28</f>
        <v>0.16318212105471563</v>
      </c>
      <c r="EC28" s="49"/>
      <c r="EE28" s="1"/>
      <c r="EK28" s="1"/>
      <c r="EM28" s="1"/>
      <c r="EN28" s="738">
        <f>+EN27+1</f>
        <v>25</v>
      </c>
      <c r="EO28" s="71"/>
      <c r="EP28" s="72" t="s">
        <v>72</v>
      </c>
      <c r="EQ28" s="77">
        <f>SUM(EQ4:EQ27)</f>
        <v>0.99999999999999989</v>
      </c>
      <c r="ER28" s="60">
        <f>EJ4</f>
        <v>7119273.4495097687</v>
      </c>
      <c r="ES28" s="77">
        <f>SUM(ES4:ES27)</f>
        <v>1</v>
      </c>
      <c r="ET28" s="60">
        <f>EJ5</f>
        <v>959874.58101591479</v>
      </c>
      <c r="EU28" s="77">
        <f>SUM(EU4:EU27)</f>
        <v>1</v>
      </c>
      <c r="EV28" s="60">
        <f>EJ6</f>
        <v>2571660.2251339629</v>
      </c>
      <c r="EW28" s="60">
        <f>SUM(EW4:EW27)</f>
        <v>10650808.255659649</v>
      </c>
      <c r="EX28" s="77">
        <f>SUM(EX4:EX27)</f>
        <v>0.99999999999999989</v>
      </c>
      <c r="EY28" s="76">
        <f>EW28*100/$M$28</f>
        <v>0.48584144633236115</v>
      </c>
      <c r="EZ28" s="1"/>
      <c r="FB28" s="1"/>
      <c r="FF28" s="1"/>
      <c r="FH28" s="49"/>
      <c r="FI28" s="738">
        <f>+FI27+1</f>
        <v>25</v>
      </c>
      <c r="FJ28" s="79"/>
      <c r="FK28" s="58" t="s">
        <v>72</v>
      </c>
      <c r="FL28" s="77">
        <f t="shared" ref="FL28" si="124">Z28</f>
        <v>0.99999999999999967</v>
      </c>
      <c r="FM28" s="60">
        <f>FE6</f>
        <v>18793628.556230251</v>
      </c>
      <c r="FN28" s="76">
        <f>FM28*100/$M$28</f>
        <v>0.85727988528383903</v>
      </c>
      <c r="FO28" s="1"/>
      <c r="FR28" s="738">
        <f>+FR27+1</f>
        <v>25</v>
      </c>
      <c r="FS28" s="80"/>
      <c r="FT28" s="75" t="s">
        <v>72</v>
      </c>
      <c r="FU28" s="817">
        <f t="shared" ref="FU28:GA28" si="125">SUM(FU4:FU27)</f>
        <v>35910255.842235312</v>
      </c>
      <c r="FV28" s="817">
        <f t="shared" si="125"/>
        <v>15711197.861928776</v>
      </c>
      <c r="FW28" s="817">
        <f t="shared" si="125"/>
        <v>22755368.059679482</v>
      </c>
      <c r="FX28" s="817">
        <f t="shared" si="125"/>
        <v>5496829.7548589986</v>
      </c>
      <c r="FY28" s="817">
        <f t="shared" si="125"/>
        <v>3577342.9690406602</v>
      </c>
      <c r="FZ28" s="817">
        <f t="shared" si="125"/>
        <v>10650808.255659649</v>
      </c>
      <c r="GA28" s="817">
        <f t="shared" si="125"/>
        <v>18793628.556230251</v>
      </c>
      <c r="GB28" s="817">
        <f>SUM(FU28:GA28)</f>
        <v>112895431.29963313</v>
      </c>
      <c r="GC28" s="854">
        <v>5.1731248696411978</v>
      </c>
      <c r="GD28" s="1"/>
      <c r="GG28" s="738">
        <v>25</v>
      </c>
      <c r="GH28" s="855"/>
      <c r="GI28" s="762" t="s">
        <v>72</v>
      </c>
      <c r="GJ28" s="820">
        <f t="shared" ref="GJ28:GQ28" si="126">FU28*100/$GR$28</f>
        <v>1.6380625974827654</v>
      </c>
      <c r="GK28" s="820">
        <f t="shared" si="126"/>
        <v>0.71667341197296042</v>
      </c>
      <c r="GL28" s="820">
        <f t="shared" si="126"/>
        <v>1.0379964284931333</v>
      </c>
      <c r="GM28" s="820">
        <f t="shared" si="126"/>
        <v>0.25074038084615324</v>
      </c>
      <c r="GN28" s="820">
        <f t="shared" si="126"/>
        <v>0.16318212105471563</v>
      </c>
      <c r="GO28" s="820">
        <f t="shared" si="126"/>
        <v>0.48584144633236115</v>
      </c>
      <c r="GP28" s="820">
        <f t="shared" si="126"/>
        <v>0.85727988528383903</v>
      </c>
      <c r="GQ28" s="854">
        <f t="shared" si="126"/>
        <v>5.1497762714659281</v>
      </c>
      <c r="GR28" s="755">
        <f>SUM(GR4:GR27)</f>
        <v>2192239533.301055</v>
      </c>
      <c r="GS28" s="716"/>
      <c r="GV28" s="721">
        <v>25</v>
      </c>
      <c r="GW28" s="80"/>
      <c r="GX28" s="75" t="s">
        <v>72</v>
      </c>
      <c r="GY28" s="70"/>
      <c r="GZ28" s="60">
        <f>SUM(GZ4:GZ27)</f>
        <v>112895431.2996331</v>
      </c>
      <c r="HA28" s="81">
        <f>SUM(HA4:HA27)</f>
        <v>2192239533.301055</v>
      </c>
      <c r="HB28" s="923">
        <f>IF(HA28&lt;&gt;0,GZ28/HA28*100,0)</f>
        <v>5.1497762714659263</v>
      </c>
      <c r="HC28" s="60">
        <f>SUM(HC4:HC27)</f>
        <v>112895435.8519045</v>
      </c>
      <c r="HD28" s="62">
        <f>SUM(HD4:HD27)</f>
        <v>-2.9150733718854553</v>
      </c>
      <c r="HE28" s="82"/>
      <c r="HH28" s="82"/>
      <c r="HI28" s="82"/>
      <c r="HJ28" s="82"/>
      <c r="HK28" s="82"/>
      <c r="HL28" s="82"/>
      <c r="HM28" s="82"/>
      <c r="HN28" s="82"/>
      <c r="HQ28" s="738">
        <v>25</v>
      </c>
      <c r="HR28" s="871" t="s">
        <v>72</v>
      </c>
      <c r="HS28" s="762"/>
      <c r="HT28" s="872">
        <v>2172816411.6368828</v>
      </c>
      <c r="HU28" s="921">
        <f>SUMPRODUCT(HT4:HT27,HU4:HU27)/SUM(HT4:HT27)</f>
        <v>5.1497764791198506</v>
      </c>
      <c r="HV28" s="873"/>
      <c r="HW28" s="874"/>
      <c r="HX28" s="873">
        <v>-1.1081743881537101</v>
      </c>
      <c r="HY28" s="875"/>
      <c r="HZ28" s="1"/>
      <c r="IB28" s="1"/>
      <c r="IM28" s="1"/>
      <c r="IO28" s="1"/>
      <c r="IP28" s="887">
        <v>25</v>
      </c>
      <c r="IQ28" s="871" t="s">
        <v>72</v>
      </c>
      <c r="IR28" s="762"/>
      <c r="IS28" s="888">
        <f>SUM(IS4:IS27)</f>
        <v>112895435.8519045</v>
      </c>
      <c r="IT28" s="872">
        <f>M28</f>
        <v>2192239533.301055</v>
      </c>
      <c r="IU28" s="889">
        <f t="shared" si="89"/>
        <v>5.1497762714659263</v>
      </c>
      <c r="IV28" s="912">
        <f>SUM(IV4:IV27)</f>
        <v>317306358.10238421</v>
      </c>
      <c r="IW28" s="912">
        <f>IT28-IV28</f>
        <v>1874933175.1986709</v>
      </c>
      <c r="IX28" s="888">
        <f>SUM(IX4:IX27)</f>
        <v>4759595.3715357641</v>
      </c>
      <c r="IY28" s="888">
        <f>SUM(IY4:IY27)</f>
        <v>108135840.48036872</v>
      </c>
      <c r="IZ28" s="854">
        <f>IY28/IT28*100</f>
        <v>4.9326653788392694</v>
      </c>
      <c r="JA28" s="931">
        <f>SUMPRODUCT(IV4:IV27,JA4:JA27)/SUM(IV4:IV27)</f>
        <v>6.407694639708148</v>
      </c>
      <c r="JB28" s="888">
        <v>112402506.296179</v>
      </c>
      <c r="JC28" s="890"/>
      <c r="JG28" s="738">
        <v>25</v>
      </c>
      <c r="JH28" s="871" t="s">
        <v>72</v>
      </c>
      <c r="JI28" s="762"/>
      <c r="JJ28" s="872">
        <f>M28</f>
        <v>2192239533.301055</v>
      </c>
      <c r="JK28" s="917">
        <f t="shared" si="97"/>
        <v>4.9326653788392694</v>
      </c>
      <c r="JL28" s="873">
        <v>6.0600640732101736</v>
      </c>
      <c r="JM28" s="874">
        <v>-0.18249978315112181</v>
      </c>
      <c r="JN28" s="873">
        <v>-1.1059603792427604</v>
      </c>
      <c r="JO28" s="875"/>
      <c r="JP28" s="25"/>
      <c r="JS28" s="1"/>
      <c r="KG28" s="1"/>
      <c r="KH28" s="69"/>
    </row>
    <row r="29" spans="3:294" x14ac:dyDescent="0.3">
      <c r="G29" s="49"/>
      <c r="I29" s="49"/>
      <c r="M29" s="14"/>
      <c r="O29" s="14"/>
      <c r="P29" s="14"/>
      <c r="S29" s="49"/>
      <c r="U29" s="49"/>
      <c r="V29" s="743"/>
      <c r="W29" s="744"/>
      <c r="X29" s="744"/>
      <c r="Y29" s="946">
        <f>Y28-SUM(D4:D9)</f>
        <v>0</v>
      </c>
      <c r="Z29" s="745"/>
      <c r="AA29" s="49"/>
      <c r="AC29" s="49"/>
      <c r="AH29" s="49"/>
      <c r="AJ29" s="49"/>
      <c r="AK29" s="49"/>
      <c r="AL29" s="49"/>
      <c r="AM29" s="49"/>
      <c r="AQ29" s="800"/>
      <c r="AR29" s="800"/>
      <c r="AS29" s="744"/>
      <c r="AT29" s="744"/>
      <c r="AU29" s="744"/>
      <c r="AV29" s="744"/>
      <c r="AW29" s="801"/>
      <c r="AX29" s="744"/>
      <c r="AY29" s="744"/>
      <c r="AZ29" s="49"/>
      <c r="BA29" s="49"/>
      <c r="BB29" s="49"/>
      <c r="BD29" s="49"/>
      <c r="BE29" s="49"/>
      <c r="BF29" s="49"/>
      <c r="BG29" s="49"/>
      <c r="BH29" s="49"/>
      <c r="BI29" s="49"/>
      <c r="BK29" s="49"/>
      <c r="BU29" s="49"/>
      <c r="BW29" s="42"/>
      <c r="BX29" s="10"/>
      <c r="BY29" s="10"/>
      <c r="BZ29" s="10"/>
      <c r="CA29" s="10"/>
      <c r="CB29" s="10"/>
      <c r="CC29" s="10"/>
      <c r="CD29" s="10"/>
      <c r="CE29" s="10"/>
      <c r="CF29" s="49"/>
      <c r="CH29" s="1"/>
      <c r="CI29" s="25"/>
      <c r="CM29" s="4"/>
      <c r="CO29" s="4"/>
      <c r="CP29" s="4"/>
      <c r="CS29" s="1"/>
      <c r="CU29" s="49"/>
      <c r="DE29" s="42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V29" s="49"/>
      <c r="DW29" s="78"/>
      <c r="DX29" s="49"/>
      <c r="DY29" s="49"/>
      <c r="DZ29" s="49"/>
      <c r="EA29" s="49"/>
      <c r="EB29" s="49"/>
      <c r="EC29" s="49"/>
      <c r="EE29" s="49"/>
      <c r="EK29" s="49"/>
      <c r="EM29" s="49"/>
      <c r="EN29" s="49"/>
      <c r="EO29" s="49"/>
      <c r="EP29" s="49"/>
      <c r="EQ29" s="49"/>
      <c r="ER29" s="49"/>
      <c r="ES29" s="49"/>
      <c r="ET29" s="49"/>
      <c r="EU29" s="49"/>
      <c r="EV29" s="83"/>
      <c r="EW29" s="49"/>
      <c r="EX29" s="49"/>
      <c r="EY29" s="49"/>
      <c r="EZ29" s="49"/>
      <c r="FB29" s="49"/>
      <c r="FF29" s="49"/>
      <c r="FH29" s="49"/>
      <c r="FI29" s="49"/>
      <c r="FJ29" s="49"/>
      <c r="FK29" s="49"/>
      <c r="FL29" s="49"/>
      <c r="FM29" s="49"/>
      <c r="FN29" s="49"/>
      <c r="FO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716"/>
      <c r="HC29" s="941">
        <f>HC28-D13</f>
        <v>1118.6715128272772</v>
      </c>
      <c r="HE29" s="11"/>
      <c r="HH29" s="54"/>
      <c r="HI29" s="54"/>
      <c r="HJ29" s="54"/>
      <c r="HK29" s="54"/>
      <c r="HL29" s="54"/>
      <c r="HM29" s="11"/>
      <c r="HN29" s="11"/>
      <c r="HZ29" s="49"/>
      <c r="IB29" s="49"/>
      <c r="IP29" s="78"/>
      <c r="IQ29" s="49"/>
      <c r="IS29" s="11"/>
      <c r="IV29" s="930"/>
      <c r="IW29" s="930"/>
      <c r="JB29" s="11"/>
    </row>
    <row r="30" spans="3:294" x14ac:dyDescent="0.3">
      <c r="G30" s="49"/>
      <c r="I30" s="49"/>
      <c r="J30" s="846"/>
      <c r="K30" s="846"/>
      <c r="L30" s="846" t="s">
        <v>432</v>
      </c>
      <c r="M30" s="856">
        <v>3</v>
      </c>
      <c r="N30" s="856"/>
      <c r="O30" s="856"/>
      <c r="P30" s="856"/>
      <c r="Q30" s="856"/>
      <c r="R30" s="856">
        <v>4</v>
      </c>
      <c r="S30" s="49"/>
      <c r="U30" s="49"/>
      <c r="V30" s="892"/>
      <c r="W30" s="892"/>
      <c r="X30" s="892" t="s">
        <v>438</v>
      </c>
      <c r="Y30" s="856">
        <v>2</v>
      </c>
      <c r="Z30" s="856">
        <f>Y30+1</f>
        <v>3</v>
      </c>
      <c r="AA30" s="49"/>
      <c r="AC30" s="49"/>
      <c r="AH30" s="49"/>
      <c r="AJ30" s="49"/>
      <c r="AK30" s="49"/>
      <c r="AL30" s="49"/>
      <c r="AM30" s="49"/>
      <c r="AQ30" s="802" t="s">
        <v>432</v>
      </c>
      <c r="AR30" s="803"/>
      <c r="AS30" s="802"/>
      <c r="AT30" s="802">
        <v>3</v>
      </c>
      <c r="AU30" s="802">
        <v>3</v>
      </c>
      <c r="AV30" s="802"/>
      <c r="AW30" s="802"/>
      <c r="AX30" s="802"/>
      <c r="AY30" s="802"/>
      <c r="AZ30" s="84"/>
      <c r="BA30" s="84">
        <v>4</v>
      </c>
      <c r="BB30" s="49"/>
      <c r="BD30" s="49"/>
      <c r="BE30" s="49"/>
      <c r="BF30" s="49"/>
      <c r="BG30" s="49"/>
      <c r="BH30" s="49"/>
      <c r="BI30" s="49"/>
      <c r="BK30" s="49"/>
      <c r="BL30" s="849"/>
      <c r="BM30" s="849"/>
      <c r="BN30" s="849" t="s">
        <v>432</v>
      </c>
      <c r="BO30" s="849">
        <v>9</v>
      </c>
      <c r="BP30" s="849"/>
      <c r="BQ30" s="849">
        <v>4</v>
      </c>
      <c r="BR30" s="849"/>
      <c r="BS30" s="849"/>
      <c r="BT30" s="849">
        <v>4</v>
      </c>
      <c r="BU30" s="49"/>
      <c r="BW30" s="42"/>
      <c r="BX30" s="10"/>
      <c r="BY30" s="10"/>
      <c r="BZ30" s="10"/>
      <c r="CA30" s="10"/>
      <c r="CB30" s="10"/>
      <c r="CC30" s="10"/>
      <c r="CD30" s="10"/>
      <c r="CE30" s="10"/>
      <c r="CF30" s="49"/>
      <c r="CH30" s="49"/>
      <c r="CK30" s="844" t="s">
        <v>434</v>
      </c>
      <c r="CM30" s="4"/>
      <c r="CO30" s="4"/>
      <c r="CP30" s="4"/>
      <c r="CS30" s="49"/>
      <c r="CU30" s="49"/>
      <c r="DE30" s="42"/>
      <c r="DG30" s="49"/>
      <c r="DH30" s="49"/>
      <c r="DI30" s="49"/>
      <c r="DJ30" s="844" t="s">
        <v>435</v>
      </c>
      <c r="DK30" s="85"/>
      <c r="DL30" s="85"/>
      <c r="DM30" s="85"/>
      <c r="DN30" s="85"/>
      <c r="DO30" s="85"/>
      <c r="DP30" s="85"/>
      <c r="DQ30" s="85"/>
      <c r="DR30" s="85"/>
      <c r="DS30" s="85"/>
      <c r="DV30" s="49"/>
      <c r="DW30" s="49"/>
      <c r="DX30" s="49"/>
      <c r="DY30" s="844" t="s">
        <v>443</v>
      </c>
      <c r="DZ30" s="85"/>
      <c r="EA30" s="85"/>
      <c r="EB30" s="85"/>
      <c r="EE30" s="49"/>
      <c r="EK30" s="49"/>
      <c r="EM30" s="49"/>
      <c r="EN30" s="49"/>
      <c r="EO30" s="49"/>
      <c r="EP30" s="844" t="s">
        <v>436</v>
      </c>
      <c r="EQ30" s="3"/>
      <c r="ER30" s="3"/>
      <c r="ES30" s="3"/>
      <c r="ET30" s="3"/>
      <c r="EU30" s="3"/>
      <c r="EV30" s="3"/>
      <c r="EW30" s="3"/>
      <c r="EX30" s="3"/>
      <c r="EY30" s="3"/>
      <c r="EZ30" s="49"/>
      <c r="FB30" s="49"/>
      <c r="FF30" s="49"/>
      <c r="FH30" s="49"/>
      <c r="FI30" s="849"/>
      <c r="FJ30" s="893" t="s">
        <v>432</v>
      </c>
      <c r="FK30" s="894"/>
      <c r="FL30" s="847"/>
      <c r="FM30" s="847"/>
      <c r="FN30" s="847">
        <v>4</v>
      </c>
      <c r="FO30" s="49"/>
      <c r="FR30" s="846"/>
      <c r="FS30" s="846"/>
      <c r="FT30" s="846" t="s">
        <v>432</v>
      </c>
      <c r="FU30" s="846">
        <v>8</v>
      </c>
      <c r="FV30" s="846">
        <v>7</v>
      </c>
      <c r="FW30" s="846">
        <v>7</v>
      </c>
      <c r="FX30" s="846">
        <v>9</v>
      </c>
      <c r="FY30" s="846">
        <v>4</v>
      </c>
      <c r="FZ30" s="846"/>
      <c r="GA30" s="846">
        <v>4</v>
      </c>
      <c r="GB30" s="846"/>
      <c r="GC30" s="846">
        <v>4</v>
      </c>
      <c r="GG30" s="846"/>
      <c r="GH30" s="846"/>
      <c r="GI30" s="846" t="s">
        <v>432</v>
      </c>
      <c r="GJ30" s="846">
        <v>10</v>
      </c>
      <c r="GK30" s="846">
        <v>8</v>
      </c>
      <c r="GL30" s="846">
        <v>9</v>
      </c>
      <c r="GM30" s="846">
        <v>11</v>
      </c>
      <c r="GN30" s="846">
        <v>5</v>
      </c>
      <c r="GO30" s="846">
        <v>11</v>
      </c>
      <c r="GP30" s="846">
        <v>5</v>
      </c>
      <c r="GQ30" s="846">
        <v>11</v>
      </c>
      <c r="GR30" s="846">
        <v>3</v>
      </c>
      <c r="GS30" s="716"/>
      <c r="HA30" s="716" t="s">
        <v>439</v>
      </c>
      <c r="HB30" s="860"/>
      <c r="HC30" s="860">
        <f>31.49*100</f>
        <v>3149</v>
      </c>
      <c r="HE30" s="11"/>
      <c r="HH30" s="54"/>
      <c r="HI30" s="54"/>
      <c r="HJ30" s="54"/>
      <c r="HK30" s="54"/>
      <c r="HL30" s="54"/>
      <c r="HM30" s="11"/>
      <c r="HN30" s="11"/>
      <c r="HQ30" s="846" t="s">
        <v>437</v>
      </c>
      <c r="HR30" s="846"/>
      <c r="HS30" s="846"/>
      <c r="HT30" s="846">
        <v>3</v>
      </c>
      <c r="HU30" s="846"/>
      <c r="HV30" s="846">
        <v>11</v>
      </c>
      <c r="HW30" s="846"/>
      <c r="HX30" s="846"/>
      <c r="HY30" s="846">
        <v>6</v>
      </c>
      <c r="HZ30" s="49"/>
      <c r="IB30" s="49"/>
      <c r="IP30" s="49"/>
      <c r="IQ30" s="49"/>
      <c r="JB30" s="11"/>
      <c r="JG30" s="846" t="s">
        <v>437</v>
      </c>
      <c r="JH30" s="846"/>
      <c r="JI30" s="846"/>
      <c r="JJ30" s="846">
        <v>3</v>
      </c>
      <c r="JK30" s="846"/>
      <c r="JL30" s="846">
        <v>5</v>
      </c>
      <c r="JM30" s="846"/>
      <c r="JN30" s="846"/>
      <c r="JO30" s="846">
        <v>6</v>
      </c>
    </row>
    <row r="31" spans="3:294" x14ac:dyDescent="0.3">
      <c r="I31" s="49"/>
      <c r="U31" s="49"/>
      <c r="V31" s="518"/>
      <c r="W31" s="518"/>
      <c r="X31" s="518"/>
      <c r="Y31" s="518"/>
      <c r="Z31" s="518"/>
      <c r="AC31" s="49"/>
      <c r="AJ31" s="49"/>
      <c r="AK31" s="49"/>
      <c r="AL31" s="49"/>
      <c r="AM31" s="49"/>
      <c r="AP31" s="87"/>
      <c r="AQ31" s="803" t="s">
        <v>438</v>
      </c>
      <c r="AR31" s="803"/>
      <c r="AS31" s="803">
        <v>2</v>
      </c>
      <c r="AT31" s="803">
        <f>+AS31+1</f>
        <v>3</v>
      </c>
      <c r="AU31" s="803">
        <f t="shared" ref="AU31:AY31" si="127">+AT31+1</f>
        <v>4</v>
      </c>
      <c r="AV31" s="803">
        <f t="shared" si="127"/>
        <v>5</v>
      </c>
      <c r="AW31" s="803">
        <f t="shared" si="127"/>
        <v>6</v>
      </c>
      <c r="AX31" s="803">
        <f t="shared" si="127"/>
        <v>7</v>
      </c>
      <c r="AY31" s="803">
        <f t="shared" si="127"/>
        <v>8</v>
      </c>
      <c r="AZ31" s="86"/>
      <c r="BA31" s="86">
        <f>+AY31+1</f>
        <v>9</v>
      </c>
      <c r="BD31" s="49"/>
      <c r="BE31" s="49"/>
      <c r="BF31" s="49"/>
      <c r="BG31" s="49"/>
      <c r="BH31" s="49"/>
      <c r="BK31" s="49"/>
      <c r="BW31" s="42"/>
      <c r="BX31" s="10"/>
      <c r="BY31" s="10"/>
      <c r="BZ31" s="10"/>
      <c r="CA31" s="10"/>
      <c r="CB31" s="10"/>
      <c r="CC31" s="10"/>
      <c r="CD31" s="10"/>
      <c r="CE31" s="10"/>
      <c r="CH31" s="49"/>
      <c r="CI31" s="849"/>
      <c r="CJ31" s="849" t="s">
        <v>432</v>
      </c>
      <c r="CK31" s="849"/>
      <c r="CL31" s="849">
        <v>4</v>
      </c>
      <c r="CM31" s="849"/>
      <c r="CN31" s="849">
        <v>7</v>
      </c>
      <c r="CO31" s="849"/>
      <c r="CP31" s="849"/>
      <c r="CQ31" s="849"/>
      <c r="CR31" s="849">
        <v>4</v>
      </c>
      <c r="CS31" s="49"/>
      <c r="CU31" s="49"/>
      <c r="DE31" s="10"/>
      <c r="DG31" s="49"/>
      <c r="DH31" s="849"/>
      <c r="DI31" s="849"/>
      <c r="DJ31" s="849" t="s">
        <v>432</v>
      </c>
      <c r="DK31" s="849">
        <v>8</v>
      </c>
      <c r="DL31" s="849"/>
      <c r="DM31" s="849">
        <v>7</v>
      </c>
      <c r="DN31" s="849"/>
      <c r="DO31" s="849">
        <v>4</v>
      </c>
      <c r="DP31" s="849"/>
      <c r="DQ31" s="849"/>
      <c r="DR31" s="849"/>
      <c r="DS31" s="849">
        <v>4</v>
      </c>
      <c r="DV31" s="49"/>
      <c r="DY31" s="844" t="s">
        <v>444</v>
      </c>
      <c r="EE31" s="49"/>
      <c r="EM31" s="49"/>
      <c r="EN31" s="849"/>
      <c r="EO31" s="849"/>
      <c r="EP31" s="849" t="s">
        <v>432</v>
      </c>
      <c r="EQ31" s="847">
        <v>4</v>
      </c>
      <c r="ER31" s="847"/>
      <c r="ES31" s="847">
        <v>8</v>
      </c>
      <c r="ET31" s="847"/>
      <c r="EU31" s="847">
        <v>4</v>
      </c>
      <c r="EV31" s="850"/>
      <c r="EW31" s="847"/>
      <c r="EX31" s="847"/>
      <c r="EY31" s="847">
        <v>4</v>
      </c>
      <c r="FB31" s="49"/>
      <c r="FH31" s="49"/>
      <c r="FI31" s="849"/>
      <c r="FJ31" s="893" t="s">
        <v>438</v>
      </c>
      <c r="FK31" s="894"/>
      <c r="FL31" s="847"/>
      <c r="FM31" s="847">
        <f>Z30+1</f>
        <v>4</v>
      </c>
      <c r="FN31" s="847">
        <f t="shared" ref="FN31" si="128">FM31+1</f>
        <v>5</v>
      </c>
      <c r="FR31" s="846"/>
      <c r="FS31" s="846"/>
      <c r="FT31" s="846" t="s">
        <v>438</v>
      </c>
      <c r="FU31" s="846">
        <v>1</v>
      </c>
      <c r="FV31" s="846">
        <f t="shared" ref="FV31:GC31" si="129">+FU31+1</f>
        <v>2</v>
      </c>
      <c r="FW31" s="846">
        <f t="shared" si="129"/>
        <v>3</v>
      </c>
      <c r="FX31" s="846">
        <f t="shared" si="129"/>
        <v>4</v>
      </c>
      <c r="FY31" s="846">
        <f t="shared" si="129"/>
        <v>5</v>
      </c>
      <c r="FZ31" s="846">
        <v>9</v>
      </c>
      <c r="GA31" s="846">
        <f t="shared" si="129"/>
        <v>10</v>
      </c>
      <c r="GB31" s="846">
        <f t="shared" si="129"/>
        <v>11</v>
      </c>
      <c r="GC31" s="846">
        <f t="shared" si="129"/>
        <v>12</v>
      </c>
      <c r="GG31" s="846"/>
      <c r="GH31" s="846"/>
      <c r="GI31" s="846" t="s">
        <v>438</v>
      </c>
      <c r="GJ31" s="846">
        <v>3</v>
      </c>
      <c r="GK31" s="846">
        <f t="shared" ref="GK31:GR31" si="130">+GJ31+1</f>
        <v>4</v>
      </c>
      <c r="GL31" s="846">
        <f t="shared" si="130"/>
        <v>5</v>
      </c>
      <c r="GM31" s="846">
        <f t="shared" si="130"/>
        <v>6</v>
      </c>
      <c r="GN31" s="846">
        <f t="shared" si="130"/>
        <v>7</v>
      </c>
      <c r="GO31" s="846">
        <f t="shared" si="130"/>
        <v>8</v>
      </c>
      <c r="GP31" s="846">
        <f t="shared" si="130"/>
        <v>9</v>
      </c>
      <c r="GQ31" s="846">
        <f t="shared" si="130"/>
        <v>10</v>
      </c>
      <c r="GR31" s="846">
        <f t="shared" si="130"/>
        <v>11</v>
      </c>
      <c r="GS31" s="716"/>
      <c r="GV31" s="846"/>
      <c r="GW31" s="846"/>
      <c r="GX31" s="846" t="s">
        <v>437</v>
      </c>
      <c r="GY31" s="856">
        <v>4</v>
      </c>
      <c r="GZ31" s="856">
        <v>10</v>
      </c>
      <c r="HA31" s="856">
        <v>11</v>
      </c>
      <c r="HB31" s="856"/>
      <c r="HC31" s="856"/>
      <c r="HD31" s="856"/>
      <c r="HE31" s="61"/>
      <c r="HH31" s="61"/>
      <c r="HI31" s="61"/>
      <c r="HJ31" s="61"/>
      <c r="HK31" s="61"/>
      <c r="HL31" s="61"/>
      <c r="HM31" s="61"/>
      <c r="HN31" s="61"/>
      <c r="IB31" s="49"/>
      <c r="IQ31" s="49"/>
      <c r="JJ31" s="716"/>
      <c r="JK31" s="358"/>
      <c r="JL31" s="358"/>
      <c r="JM31" s="716"/>
      <c r="JN31" s="716"/>
    </row>
    <row r="32" spans="3:294" x14ac:dyDescent="0.3">
      <c r="I32" s="49"/>
      <c r="U32" s="49"/>
      <c r="AC32" s="49"/>
      <c r="AJ32" s="49"/>
      <c r="AK32" s="49"/>
      <c r="AL32" s="49"/>
      <c r="AM32" s="49"/>
      <c r="BD32" s="49"/>
      <c r="BE32" s="49"/>
      <c r="BF32" s="49"/>
      <c r="BG32" s="49"/>
      <c r="BH32" s="49"/>
      <c r="BK32" s="49"/>
      <c r="BW32" s="42"/>
      <c r="BX32" s="10"/>
      <c r="BY32" s="10"/>
      <c r="BZ32" s="10"/>
      <c r="CA32" s="10"/>
      <c r="CB32" s="10"/>
      <c r="CC32" s="10"/>
      <c r="CD32" s="10"/>
      <c r="CE32" s="10"/>
      <c r="CH32" s="49"/>
      <c r="CU32" s="49"/>
      <c r="DE32" s="10"/>
      <c r="DG32" s="49"/>
      <c r="DV32" s="49"/>
      <c r="DW32" s="849"/>
      <c r="DX32" s="849"/>
      <c r="DY32" s="849" t="s">
        <v>432</v>
      </c>
      <c r="DZ32" s="849">
        <v>7</v>
      </c>
      <c r="EA32" s="849"/>
      <c r="EB32" s="849">
        <v>4</v>
      </c>
      <c r="EE32" s="49"/>
      <c r="EM32" s="49"/>
      <c r="EN32" s="845"/>
      <c r="EO32" s="845"/>
      <c r="EP32" s="845"/>
      <c r="EQ32" s="845"/>
      <c r="ER32" s="845"/>
      <c r="ES32" s="845"/>
      <c r="ET32" s="845"/>
      <c r="EU32" s="845"/>
      <c r="EV32" s="848"/>
      <c r="EW32" s="845"/>
      <c r="EX32" s="845"/>
      <c r="EY32" s="845"/>
      <c r="FB32" s="49"/>
      <c r="FH32" s="49"/>
      <c r="FI32" s="716"/>
      <c r="FJ32" s="716"/>
      <c r="FK32" s="716"/>
      <c r="FL32" s="716"/>
      <c r="FM32" s="716"/>
      <c r="FN32" s="716"/>
      <c r="FR32" s="716"/>
      <c r="FS32" s="716"/>
      <c r="FT32" s="716"/>
      <c r="FU32" s="716"/>
      <c r="FV32" s="716"/>
      <c r="FW32" s="716"/>
      <c r="FX32" s="716"/>
      <c r="FY32" s="716"/>
      <c r="FZ32" s="716"/>
      <c r="GA32" s="716"/>
      <c r="GB32" s="716"/>
      <c r="GC32" s="716"/>
      <c r="GS32" s="716"/>
      <c r="GV32" s="846"/>
      <c r="GW32" s="846"/>
      <c r="GX32" s="846" t="s">
        <v>433</v>
      </c>
      <c r="GY32" s="856">
        <v>2</v>
      </c>
      <c r="GZ32" s="856">
        <f>GY32+1</f>
        <v>3</v>
      </c>
      <c r="HA32" s="856">
        <f t="shared" ref="HA32:HD32" si="131">GZ32+1</f>
        <v>4</v>
      </c>
      <c r="HB32" s="856">
        <f t="shared" si="131"/>
        <v>5</v>
      </c>
      <c r="HC32" s="856">
        <f t="shared" si="131"/>
        <v>6</v>
      </c>
      <c r="HD32" s="856">
        <f t="shared" si="131"/>
        <v>7</v>
      </c>
      <c r="HU32" s="866"/>
      <c r="HV32" s="866"/>
      <c r="IB32" s="49"/>
      <c r="IQ32" s="49"/>
      <c r="JJ32" s="716"/>
      <c r="JK32" s="891"/>
      <c r="JL32" s="891"/>
      <c r="JM32" s="716"/>
      <c r="JN32" s="716"/>
    </row>
    <row r="33" spans="9:274" x14ac:dyDescent="0.3">
      <c r="I33" s="49"/>
      <c r="U33" s="49"/>
      <c r="AC33" s="49"/>
      <c r="AJ33" s="49"/>
      <c r="AK33" s="49"/>
      <c r="AL33" s="49"/>
      <c r="AM33" s="49"/>
      <c r="BD33" s="49"/>
      <c r="BE33" s="49"/>
      <c r="BF33" s="49"/>
      <c r="BG33" s="49"/>
      <c r="BH33" s="49"/>
      <c r="BK33" s="49"/>
      <c r="BW33" s="42"/>
      <c r="BX33" s="10"/>
      <c r="BY33" s="10"/>
      <c r="BZ33" s="10"/>
      <c r="CA33" s="10"/>
      <c r="CB33" s="10"/>
      <c r="CC33" s="10"/>
      <c r="CD33" s="10"/>
      <c r="CE33" s="10"/>
      <c r="CH33" s="49"/>
      <c r="CU33" s="49"/>
      <c r="DE33" s="10"/>
      <c r="DG33" s="49"/>
      <c r="DV33" s="49"/>
      <c r="EE33" s="49"/>
      <c r="EM33" s="49"/>
      <c r="FB33" s="49"/>
      <c r="FH33" s="49"/>
      <c r="GS33" s="716"/>
      <c r="GW33" s="716"/>
      <c r="GX33" s="716"/>
      <c r="GY33" s="716"/>
      <c r="GZ33" s="716"/>
      <c r="HA33" s="716"/>
      <c r="HB33" s="716"/>
      <c r="HC33" s="716"/>
      <c r="HD33" s="716"/>
      <c r="IB33" s="49"/>
      <c r="IQ33" s="49"/>
      <c r="JJ33" s="716"/>
      <c r="JK33" s="716"/>
      <c r="JL33" s="716"/>
      <c r="JM33" s="716"/>
      <c r="JN33" s="716"/>
    </row>
    <row r="34" spans="9:274" x14ac:dyDescent="0.3">
      <c r="I34" s="49"/>
      <c r="U34" s="49"/>
      <c r="AC34" s="49"/>
      <c r="AJ34" s="49"/>
      <c r="AK34" s="49"/>
      <c r="AL34" s="49"/>
      <c r="AM34" s="49"/>
      <c r="BD34" s="49"/>
      <c r="BE34" s="49"/>
      <c r="BF34" s="49"/>
      <c r="BG34" s="49"/>
      <c r="BH34" s="49"/>
      <c r="BK34" s="49"/>
      <c r="BW34" s="42"/>
      <c r="BX34" s="10"/>
      <c r="BY34" s="10"/>
      <c r="BZ34" s="10"/>
      <c r="CA34" s="10"/>
      <c r="CB34" s="10"/>
      <c r="CC34" s="10"/>
      <c r="CD34" s="10"/>
      <c r="CE34" s="10"/>
      <c r="CH34" s="49"/>
      <c r="CU34" s="49"/>
      <c r="DE34" s="10"/>
      <c r="DG34" s="49"/>
      <c r="DV34" s="49"/>
      <c r="EE34" s="49"/>
      <c r="EM34" s="49"/>
      <c r="EN34" s="716"/>
      <c r="EO34" s="716"/>
      <c r="EP34" s="716"/>
      <c r="EQ34" s="716"/>
      <c r="ER34" s="716"/>
      <c r="ES34" s="716"/>
      <c r="ET34" s="716"/>
      <c r="EU34" s="716"/>
      <c r="EV34" s="716"/>
      <c r="EW34" s="716"/>
      <c r="EX34" s="716"/>
      <c r="EY34" s="716"/>
      <c r="FB34" s="49"/>
      <c r="FH34" s="49"/>
      <c r="GH34" s="716"/>
      <c r="GI34" s="716"/>
      <c r="GJ34" s="716"/>
      <c r="GK34" s="716"/>
      <c r="GL34" s="716"/>
      <c r="GM34" s="716"/>
      <c r="GN34" s="716"/>
      <c r="GO34" s="716"/>
      <c r="GP34" s="716"/>
      <c r="GQ34" s="716"/>
      <c r="GR34" s="716"/>
      <c r="GS34" s="716"/>
      <c r="HE34" s="12"/>
      <c r="HH34" s="12"/>
      <c r="HI34" s="12"/>
      <c r="HJ34" s="12"/>
      <c r="HK34" s="12"/>
      <c r="HL34" s="12"/>
      <c r="HM34" s="12"/>
      <c r="HN34" s="12"/>
      <c r="HV34" s="35"/>
      <c r="IB34" s="49"/>
      <c r="IQ34" s="49"/>
    </row>
    <row r="35" spans="9:274" x14ac:dyDescent="0.3">
      <c r="I35" s="49"/>
      <c r="M35" s="12"/>
      <c r="N35" s="12"/>
      <c r="O35" s="12"/>
      <c r="P35" s="12"/>
      <c r="Q35" s="12"/>
      <c r="R35" s="12"/>
      <c r="U35" s="49"/>
      <c r="AC35" s="49"/>
      <c r="AJ35" s="49"/>
      <c r="AK35" s="49"/>
      <c r="AL35" s="49"/>
      <c r="AM35" s="49"/>
      <c r="BD35" s="49"/>
      <c r="BK35" s="49"/>
      <c r="BW35" s="42"/>
      <c r="BX35" s="10"/>
      <c r="BY35" s="10"/>
      <c r="BZ35" s="10"/>
      <c r="CA35" s="10"/>
      <c r="CB35" s="10"/>
      <c r="CC35" s="10"/>
      <c r="CD35" s="10"/>
      <c r="CE35" s="10"/>
      <c r="CH35" s="49"/>
      <c r="CU35" s="49"/>
      <c r="DE35" s="10"/>
      <c r="EE35" s="49"/>
      <c r="EM35" s="49"/>
      <c r="EN35" s="716"/>
      <c r="EO35" s="716"/>
      <c r="EP35" s="716"/>
      <c r="EQ35" s="716"/>
      <c r="ER35" s="716"/>
      <c r="ES35" s="716"/>
      <c r="ET35" s="716"/>
      <c r="EU35" s="716"/>
      <c r="EV35" s="716"/>
      <c r="EW35" s="716"/>
      <c r="EX35" s="716"/>
      <c r="EY35" s="716"/>
      <c r="FB35" s="49"/>
      <c r="FN35" s="716"/>
      <c r="FR35" s="716"/>
      <c r="FS35" s="716"/>
      <c r="FT35" s="716"/>
      <c r="FU35" s="716"/>
      <c r="FV35" s="716"/>
      <c r="FW35" s="716"/>
      <c r="FX35" s="716"/>
      <c r="FY35" s="716"/>
      <c r="FZ35" s="716"/>
      <c r="GA35" s="716"/>
      <c r="GB35" s="716"/>
      <c r="GC35" s="716"/>
      <c r="GH35" s="716"/>
      <c r="GI35" s="716"/>
      <c r="GJ35" s="716"/>
      <c r="GK35" s="716"/>
      <c r="GL35" s="716"/>
      <c r="GM35" s="716"/>
      <c r="GN35" s="716"/>
      <c r="GO35" s="716"/>
      <c r="GP35" s="716"/>
      <c r="GQ35" s="716"/>
      <c r="GR35" s="716"/>
      <c r="GS35" s="716"/>
      <c r="HE35" s="12"/>
      <c r="HH35" s="12"/>
      <c r="HI35" s="12"/>
      <c r="HJ35" s="12"/>
      <c r="HK35" s="12"/>
      <c r="HL35" s="12"/>
      <c r="HM35" s="12"/>
      <c r="HN35" s="12"/>
      <c r="HV35" s="14"/>
      <c r="IB35" s="49"/>
      <c r="IQ35" s="49"/>
    </row>
    <row r="36" spans="9:274" x14ac:dyDescent="0.3">
      <c r="M36" s="12"/>
      <c r="N36" s="12"/>
      <c r="O36" s="12"/>
      <c r="P36" s="12"/>
      <c r="Q36" s="12"/>
      <c r="R36" s="12"/>
      <c r="AN36" s="87"/>
      <c r="BW36" s="10"/>
      <c r="BX36" s="10"/>
      <c r="BY36" s="10"/>
      <c r="BZ36" s="10"/>
      <c r="CA36" s="10"/>
      <c r="CB36" s="10"/>
      <c r="CC36" s="10"/>
      <c r="CD36" s="10"/>
      <c r="CE36" s="10"/>
      <c r="CH36" s="49"/>
      <c r="DE36" s="10"/>
      <c r="EN36" s="716"/>
      <c r="EO36" s="716"/>
      <c r="EP36" s="716"/>
      <c r="EQ36" s="716"/>
      <c r="ER36" s="716"/>
      <c r="ES36" s="716"/>
      <c r="ET36" s="716"/>
      <c r="EU36" s="716"/>
      <c r="EV36" s="716"/>
      <c r="EW36" s="716"/>
      <c r="EX36" s="716"/>
      <c r="EY36" s="716"/>
      <c r="FR36" s="716"/>
      <c r="FS36" s="716"/>
      <c r="FT36" s="716"/>
      <c r="FU36" s="716"/>
      <c r="FV36" s="716"/>
      <c r="FW36" s="716"/>
      <c r="FX36" s="716"/>
      <c r="FY36" s="716"/>
      <c r="FZ36" s="716"/>
      <c r="GA36" s="716"/>
      <c r="GB36" s="716"/>
      <c r="GC36" s="716"/>
      <c r="GH36" s="716"/>
      <c r="GI36" s="716"/>
      <c r="GJ36" s="716"/>
      <c r="GK36" s="716"/>
      <c r="GL36" s="716"/>
      <c r="GM36" s="716"/>
      <c r="GN36" s="716"/>
      <c r="GO36" s="716"/>
      <c r="GP36" s="716"/>
      <c r="GQ36" s="716"/>
      <c r="GR36" s="716"/>
      <c r="GS36" s="716"/>
      <c r="GW36" s="716"/>
      <c r="GX36" s="716"/>
      <c r="GY36" s="716"/>
      <c r="GZ36" s="716"/>
      <c r="HA36" s="716"/>
      <c r="HB36" s="716"/>
      <c r="HC36" s="716"/>
      <c r="HD36" s="716"/>
    </row>
    <row r="37" spans="9:274" x14ac:dyDescent="0.3">
      <c r="BW37" s="10"/>
      <c r="BX37" s="10"/>
      <c r="BY37" s="10"/>
      <c r="BZ37" s="10"/>
      <c r="CA37" s="10"/>
      <c r="CB37" s="10"/>
      <c r="CC37" s="10"/>
      <c r="CD37" s="10"/>
      <c r="CE37" s="10"/>
      <c r="DE37" s="10"/>
      <c r="GH37" s="716"/>
      <c r="GI37" s="716"/>
      <c r="GJ37" s="716"/>
      <c r="GK37" s="716"/>
      <c r="GL37" s="716"/>
      <c r="GM37" s="716"/>
      <c r="GN37" s="716"/>
      <c r="GO37" s="716"/>
      <c r="GP37" s="716"/>
      <c r="GQ37" s="716"/>
      <c r="GR37" s="716"/>
      <c r="GS37" s="716"/>
      <c r="GW37" s="716"/>
      <c r="GX37" s="716"/>
      <c r="GY37" s="716"/>
      <c r="GZ37" s="716"/>
      <c r="HA37" s="716"/>
      <c r="HB37" s="716"/>
      <c r="HC37" s="716"/>
      <c r="HD37" s="716"/>
    </row>
    <row r="38" spans="9:274" x14ac:dyDescent="0.3">
      <c r="BW38" s="10"/>
      <c r="BX38" s="10"/>
      <c r="BY38" s="10"/>
      <c r="BZ38" s="10"/>
      <c r="CA38" s="10"/>
      <c r="CB38" s="10"/>
      <c r="CC38" s="10"/>
      <c r="CD38" s="10"/>
      <c r="CE38" s="10"/>
      <c r="DE38" s="10"/>
      <c r="GH38" s="716"/>
      <c r="GI38" s="716"/>
      <c r="GJ38" s="716"/>
      <c r="GK38" s="716"/>
      <c r="GL38" s="716"/>
      <c r="GM38" s="716"/>
      <c r="GN38" s="716"/>
      <c r="GO38" s="716"/>
      <c r="GP38" s="716"/>
      <c r="GQ38" s="716"/>
      <c r="GR38" s="716"/>
      <c r="GS38" s="716"/>
      <c r="GW38" s="716"/>
      <c r="GX38" s="716"/>
      <c r="GY38" s="716"/>
      <c r="GZ38" s="716"/>
      <c r="HA38" s="716"/>
      <c r="HB38" s="716"/>
      <c r="HC38" s="716"/>
      <c r="HD38" s="716"/>
    </row>
    <row r="39" spans="9:274" x14ac:dyDescent="0.3">
      <c r="BW39" s="10"/>
      <c r="BX39" s="10"/>
      <c r="BY39" s="10"/>
      <c r="BZ39" s="10"/>
      <c r="CA39" s="10"/>
      <c r="CB39" s="10"/>
      <c r="CC39" s="10"/>
      <c r="CD39" s="10"/>
      <c r="CE39" s="10"/>
      <c r="DE39" s="10"/>
      <c r="GH39" s="716"/>
      <c r="GI39" s="716"/>
      <c r="GJ39" s="716"/>
      <c r="GK39" s="716"/>
      <c r="GL39" s="716"/>
      <c r="GM39" s="716"/>
      <c r="GN39" s="716"/>
      <c r="GO39" s="716"/>
      <c r="GP39" s="716"/>
      <c r="GQ39" s="716"/>
      <c r="GR39" s="716"/>
      <c r="GS39" s="716"/>
      <c r="GW39" s="716"/>
      <c r="GX39" s="716"/>
      <c r="GY39" s="716"/>
    </row>
    <row r="40" spans="9:274" x14ac:dyDescent="0.3">
      <c r="BW40" s="10"/>
      <c r="BX40" s="10"/>
      <c r="BY40" s="10"/>
      <c r="BZ40" s="10"/>
      <c r="CA40" s="10"/>
      <c r="CB40" s="10"/>
      <c r="CC40" s="10"/>
      <c r="CD40" s="10"/>
      <c r="CE40" s="10"/>
      <c r="DE40" s="10"/>
      <c r="HA40" s="860"/>
    </row>
    <row r="41" spans="9:274" x14ac:dyDescent="0.3">
      <c r="BW41" s="10"/>
      <c r="BX41" s="10"/>
      <c r="BY41" s="10"/>
      <c r="BZ41" s="10"/>
      <c r="CA41" s="10"/>
      <c r="CB41" s="10"/>
      <c r="CC41" s="10"/>
      <c r="CD41" s="10"/>
      <c r="CE41" s="10"/>
      <c r="DE41" s="10"/>
      <c r="HA41" s="860"/>
    </row>
    <row r="42" spans="9:274" x14ac:dyDescent="0.3">
      <c r="BW42" s="10"/>
      <c r="BX42" s="10"/>
      <c r="BY42" s="10"/>
      <c r="BZ42" s="10"/>
      <c r="CA42" s="10"/>
      <c r="CB42" s="10"/>
      <c r="CC42" s="10"/>
      <c r="CD42" s="10"/>
      <c r="CE42" s="10"/>
      <c r="DE42" s="10"/>
    </row>
    <row r="43" spans="9:274" x14ac:dyDescent="0.3">
      <c r="BW43" s="10"/>
      <c r="BX43" s="10"/>
      <c r="BY43" s="10"/>
      <c r="BZ43" s="10"/>
      <c r="CA43" s="10"/>
      <c r="CB43" s="10"/>
      <c r="CC43" s="10"/>
      <c r="CD43" s="10"/>
      <c r="CE43" s="10"/>
      <c r="DE43" s="10"/>
    </row>
    <row r="44" spans="9:274" x14ac:dyDescent="0.3">
      <c r="BW44" s="10"/>
      <c r="BX44" s="10"/>
      <c r="BY44" s="10"/>
      <c r="BZ44" s="10"/>
      <c r="CA44" s="10"/>
      <c r="CB44" s="10"/>
      <c r="CC44" s="10"/>
      <c r="CD44" s="10"/>
      <c r="CE44" s="10"/>
      <c r="DE44" s="10"/>
    </row>
    <row r="45" spans="9:274" x14ac:dyDescent="0.3">
      <c r="BW45" s="10"/>
      <c r="BX45" s="10"/>
      <c r="BY45" s="10"/>
      <c r="BZ45" s="10"/>
      <c r="CA45" s="10"/>
      <c r="CB45" s="10"/>
      <c r="CC45" s="10"/>
      <c r="CD45" s="10"/>
      <c r="CE45" s="10"/>
      <c r="DE45" s="10"/>
    </row>
    <row r="46" spans="9:274" x14ac:dyDescent="0.3">
      <c r="BW46" s="10"/>
      <c r="BX46" s="10"/>
      <c r="BY46" s="10"/>
      <c r="BZ46" s="10"/>
      <c r="CA46" s="10"/>
      <c r="CB46" s="10"/>
      <c r="CC46" s="10"/>
      <c r="CD46" s="10"/>
      <c r="CE46" s="10"/>
      <c r="DE46" s="10"/>
    </row>
    <row r="47" spans="9:274" x14ac:dyDescent="0.3">
      <c r="BW47" s="10"/>
      <c r="BX47" s="10"/>
      <c r="BY47" s="10"/>
      <c r="BZ47" s="10"/>
      <c r="CA47" s="10"/>
      <c r="CB47" s="10"/>
      <c r="CC47" s="10"/>
      <c r="CD47" s="10"/>
      <c r="CE47" s="10"/>
      <c r="DE47" s="10"/>
    </row>
    <row r="48" spans="9:274" x14ac:dyDescent="0.3">
      <c r="BW48" s="10"/>
      <c r="BX48" s="10"/>
      <c r="BY48" s="10"/>
      <c r="BZ48" s="10"/>
      <c r="CA48" s="10"/>
      <c r="CB48" s="10"/>
      <c r="CC48" s="10"/>
      <c r="CD48" s="10"/>
      <c r="CE48" s="10"/>
      <c r="DE48" s="10"/>
    </row>
    <row r="49" spans="75:109" x14ac:dyDescent="0.3">
      <c r="BW49" s="10"/>
      <c r="BX49" s="10"/>
      <c r="BY49" s="10"/>
      <c r="BZ49" s="10"/>
      <c r="CA49" s="10"/>
      <c r="CB49" s="10"/>
      <c r="CC49" s="10"/>
      <c r="CD49" s="10"/>
      <c r="CE49" s="10"/>
      <c r="DE49" s="10"/>
    </row>
    <row r="50" spans="75:109" x14ac:dyDescent="0.3">
      <c r="BW50" s="10"/>
      <c r="BX50" s="10"/>
      <c r="BY50" s="10"/>
      <c r="BZ50" s="10"/>
      <c r="CA50" s="10"/>
      <c r="CB50" s="10"/>
      <c r="CC50" s="10"/>
      <c r="CD50" s="10"/>
      <c r="CE50" s="10"/>
      <c r="DE50" s="10"/>
    </row>
  </sheetData>
  <mergeCells count="25">
    <mergeCell ref="AQ1:BA1"/>
    <mergeCell ref="B1:F1"/>
    <mergeCell ref="J1:R1"/>
    <mergeCell ref="V1:Z1"/>
    <mergeCell ref="AD1:AG1"/>
    <mergeCell ref="AK1:AM1"/>
    <mergeCell ref="FR1:GC1"/>
    <mergeCell ref="BE1:BH1"/>
    <mergeCell ref="BL1:BT1"/>
    <mergeCell ref="BX1:CE1"/>
    <mergeCell ref="CI1:CR1"/>
    <mergeCell ref="CV1:DD1"/>
    <mergeCell ref="DH1:DS1"/>
    <mergeCell ref="DW1:EB1"/>
    <mergeCell ref="EF1:EJ1"/>
    <mergeCell ref="EN1:EY1"/>
    <mergeCell ref="FC1:FE1"/>
    <mergeCell ref="FI1:FN1"/>
    <mergeCell ref="JG1:JO1"/>
    <mergeCell ref="GG1:GR1"/>
    <mergeCell ref="GV1:HD1"/>
    <mergeCell ref="HH1:HM1"/>
    <mergeCell ref="HQ1:HY1"/>
    <mergeCell ref="IC1:IL1"/>
    <mergeCell ref="IP1:JC1"/>
  </mergeCells>
  <pageMargins left="0.7" right="0.7" top="0.75" bottom="0.75" header="0.3" footer="0.3"/>
  <pageSetup orientation="portrait" r:id="rId1"/>
  <ignoredErrors>
    <ignoredError sqref="BP28 CO28 CM28 DN28:DP28 DL28 EV28 ER28 ET2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63BA5-AADB-4DA2-AD0E-12178175208E}">
  <sheetPr>
    <tabColor rgb="FF92D050"/>
  </sheetPr>
  <dimension ref="A1:KH50"/>
  <sheetViews>
    <sheetView zoomScale="85" zoomScaleNormal="85" workbookViewId="0">
      <selection activeCell="E23" sqref="E23"/>
    </sheetView>
  </sheetViews>
  <sheetFormatPr defaultColWidth="10.28515625" defaultRowHeight="16.5" x14ac:dyDescent="0.3"/>
  <cols>
    <col min="1" max="1" width="2.42578125" style="2" customWidth="1"/>
    <col min="2" max="2" width="8.85546875" style="2" customWidth="1"/>
    <col min="3" max="3" width="39.42578125" style="2" customWidth="1"/>
    <col min="4" max="4" width="24.5703125" style="2" customWidth="1"/>
    <col min="5" max="5" width="21.7109375" style="2" customWidth="1"/>
    <col min="6" max="6" width="21.42578125" style="2" customWidth="1"/>
    <col min="7" max="7" width="4.140625" style="2" customWidth="1"/>
    <col min="8" max="8" width="7" style="102" customWidth="1"/>
    <col min="9" max="9" width="4.140625" style="2" customWidth="1"/>
    <col min="10" max="10" width="5.7109375" style="2" customWidth="1"/>
    <col min="11" max="11" width="11.7109375" style="2" customWidth="1"/>
    <col min="12" max="12" width="37.7109375" style="2" customWidth="1"/>
    <col min="13" max="13" width="20.85546875" style="2" customWidth="1"/>
    <col min="14" max="16" width="14.42578125" style="2" customWidth="1"/>
    <col min="17" max="17" width="17.7109375" style="2" customWidth="1"/>
    <col min="18" max="18" width="15" style="2" customWidth="1"/>
    <col min="19" max="19" width="4.140625" style="2" customWidth="1"/>
    <col min="20" max="20" width="7" style="102" customWidth="1"/>
    <col min="21" max="21" width="4.140625" style="2" customWidth="1"/>
    <col min="22" max="22" width="6" style="2" customWidth="1"/>
    <col min="23" max="23" width="11.28515625" style="2" customWidth="1"/>
    <col min="24" max="24" width="35" style="2" bestFit="1" customWidth="1"/>
    <col min="25" max="25" width="18.28515625" style="2" customWidth="1"/>
    <col min="26" max="26" width="11.42578125" style="2" customWidth="1"/>
    <col min="27" max="27" width="4.140625" style="2" customWidth="1"/>
    <col min="28" max="28" width="7" style="102" customWidth="1"/>
    <col min="29" max="29" width="4.140625" style="2" customWidth="1"/>
    <col min="30" max="31" width="9.85546875" style="2" customWidth="1"/>
    <col min="32" max="32" width="38.28515625" style="2" customWidth="1"/>
    <col min="33" max="33" width="16.5703125" style="2" customWidth="1"/>
    <col min="34" max="34" width="4" style="2" customWidth="1"/>
    <col min="35" max="35" width="7" style="102" customWidth="1"/>
    <col min="36" max="36" width="4.140625" style="2" customWidth="1"/>
    <col min="37" max="37" width="5.140625" style="2" customWidth="1"/>
    <col min="38" max="38" width="65.28515625" style="2" customWidth="1"/>
    <col min="39" max="39" width="13.28515625" style="2" customWidth="1"/>
    <col min="40" max="40" width="4.140625" style="2" customWidth="1"/>
    <col min="41" max="41" width="7" style="102" customWidth="1"/>
    <col min="42" max="42" width="4.140625" style="2" customWidth="1"/>
    <col min="43" max="43" width="5.28515625" style="2" customWidth="1"/>
    <col min="44" max="44" width="11" style="2" customWidth="1"/>
    <col min="45" max="45" width="35" style="2" bestFit="1" customWidth="1"/>
    <col min="46" max="46" width="16.5703125" style="2" customWidth="1"/>
    <col min="47" max="47" width="17.85546875" style="2" bestFit="1" customWidth="1"/>
    <col min="48" max="48" width="22.42578125" style="2" customWidth="1"/>
    <col min="49" max="49" width="21" style="2" bestFit="1" customWidth="1"/>
    <col min="50" max="50" width="17.28515625" style="2" customWidth="1"/>
    <col min="51" max="51" width="20.28515625" style="2" customWidth="1"/>
    <col min="52" max="52" width="19.5703125" style="2" hidden="1" customWidth="1"/>
    <col min="53" max="53" width="15.5703125" style="2" hidden="1" customWidth="1"/>
    <col min="54" max="54" width="4.140625" style="2" customWidth="1"/>
    <col min="55" max="55" width="7" style="102" customWidth="1"/>
    <col min="56" max="56" width="4.140625" style="2" customWidth="1"/>
    <col min="57" max="57" width="4.7109375" style="2" bestFit="1" customWidth="1"/>
    <col min="58" max="58" width="36.140625" style="2" bestFit="1" customWidth="1"/>
    <col min="59" max="59" width="13.28515625" style="2" bestFit="1" customWidth="1"/>
    <col min="60" max="60" width="15" style="2" bestFit="1" customWidth="1"/>
    <col min="61" max="61" width="4.140625" style="2" customWidth="1"/>
    <col min="62" max="62" width="7" style="102" customWidth="1"/>
    <col min="63" max="63" width="4.140625" style="2" customWidth="1"/>
    <col min="64" max="64" width="5.7109375" style="2" customWidth="1"/>
    <col min="65" max="65" width="11.7109375" style="2" customWidth="1"/>
    <col min="66" max="66" width="38.42578125" style="2" customWidth="1"/>
    <col min="67" max="67" width="18.42578125" style="2" customWidth="1"/>
    <col min="68" max="68" width="20.5703125" style="2" customWidth="1"/>
    <col min="69" max="72" width="16.7109375" style="2" customWidth="1"/>
    <col min="73" max="73" width="4.140625" style="2" customWidth="1"/>
    <col min="74" max="74" width="7" style="102" customWidth="1"/>
    <col min="75" max="75" width="4.140625" style="2" customWidth="1"/>
    <col min="76" max="76" width="5" style="2" customWidth="1"/>
    <col min="77" max="77" width="18.85546875" style="2" bestFit="1" customWidth="1"/>
    <col min="78" max="78" width="14.42578125" style="2" customWidth="1"/>
    <col min="79" max="79" width="14.85546875" style="2" customWidth="1"/>
    <col min="80" max="83" width="15.5703125" style="2" customWidth="1"/>
    <col min="84" max="84" width="4.140625" style="2" customWidth="1"/>
    <col min="85" max="85" width="7" style="102" customWidth="1"/>
    <col min="86" max="86" width="4.140625" style="2" customWidth="1"/>
    <col min="87" max="87" width="5" style="2" customWidth="1"/>
    <col min="88" max="88" width="11" style="7" customWidth="1"/>
    <col min="89" max="89" width="35.5703125" style="2" customWidth="1"/>
    <col min="90" max="96" width="16.140625" style="2" customWidth="1"/>
    <col min="97" max="97" width="4.140625" style="2" customWidth="1"/>
    <col min="98" max="98" width="7" style="102" customWidth="1"/>
    <col min="99" max="99" width="4.140625" style="2" customWidth="1"/>
    <col min="100" max="100" width="4.7109375" style="2" customWidth="1"/>
    <col min="101" max="101" width="30" style="2" bestFit="1" customWidth="1"/>
    <col min="102" max="105" width="13.140625" style="2" customWidth="1"/>
    <col min="106" max="106" width="16.7109375" style="2" customWidth="1"/>
    <col min="107" max="107" width="20" style="2" customWidth="1"/>
    <col min="108" max="108" width="20.140625" style="2" customWidth="1"/>
    <col min="109" max="109" width="4.140625" style="2" customWidth="1"/>
    <col min="110" max="110" width="7" style="102" customWidth="1"/>
    <col min="111" max="111" width="4.140625" style="2" customWidth="1"/>
    <col min="112" max="112" width="5.85546875" style="2" customWidth="1"/>
    <col min="113" max="113" width="11.42578125" style="2" customWidth="1"/>
    <col min="114" max="114" width="34.42578125" style="2" customWidth="1"/>
    <col min="115" max="115" width="13.28515625" style="2" customWidth="1"/>
    <col min="116" max="116" width="15.5703125" style="2" customWidth="1"/>
    <col min="117" max="117" width="16.5703125" style="2" customWidth="1"/>
    <col min="118" max="118" width="15.5703125" style="2" customWidth="1"/>
    <col min="119" max="119" width="13.28515625" style="2" customWidth="1"/>
    <col min="120" max="120" width="15.5703125" style="2" customWidth="1"/>
    <col min="121" max="121" width="16.7109375" style="2" customWidth="1"/>
    <col min="122" max="122" width="13.28515625" style="2" customWidth="1"/>
    <col min="123" max="123" width="15.42578125" style="2" customWidth="1"/>
    <col min="124" max="124" width="4.140625" style="2" customWidth="1"/>
    <col min="125" max="125" width="7" style="102" customWidth="1"/>
    <col min="126" max="126" width="4.140625" style="2" customWidth="1"/>
    <col min="127" max="127" width="6.140625" style="2" customWidth="1"/>
    <col min="128" max="128" width="11.140625" style="2" customWidth="1"/>
    <col min="129" max="129" width="37.85546875" style="2" customWidth="1"/>
    <col min="130" max="130" width="16.7109375" style="2" customWidth="1"/>
    <col min="131" max="131" width="16" style="2" customWidth="1"/>
    <col min="132" max="132" width="15.42578125" style="2" customWidth="1"/>
    <col min="133" max="133" width="4.140625" style="2" customWidth="1"/>
    <col min="134" max="134" width="7" style="102" customWidth="1"/>
    <col min="135" max="135" width="4.140625" style="2" customWidth="1"/>
    <col min="136" max="136" width="4.7109375" style="2" customWidth="1"/>
    <col min="137" max="138" width="14.42578125" style="2" customWidth="1"/>
    <col min="139" max="139" width="13.140625" style="2" customWidth="1"/>
    <col min="140" max="140" width="14.85546875" style="2" customWidth="1"/>
    <col min="141" max="141" width="4.140625" style="2" customWidth="1"/>
    <col min="142" max="142" width="7" style="102" customWidth="1"/>
    <col min="143" max="143" width="4.140625" style="2" customWidth="1"/>
    <col min="144" max="144" width="5.7109375" style="2" customWidth="1"/>
    <col min="145" max="145" width="11.7109375" style="2" customWidth="1"/>
    <col min="146" max="146" width="34.42578125" style="2" customWidth="1"/>
    <col min="147" max="147" width="14.42578125" style="2" customWidth="1"/>
    <col min="148" max="148" width="15.5703125" style="2" bestFit="1" customWidth="1"/>
    <col min="149" max="152" width="14.42578125" style="2" customWidth="1"/>
    <col min="153" max="153" width="15.5703125" style="2" customWidth="1"/>
    <col min="154" max="155" width="14.42578125" style="2" customWidth="1"/>
    <col min="156" max="156" width="4.140625" style="2" customWidth="1"/>
    <col min="157" max="157" width="7" style="102" customWidth="1"/>
    <col min="158" max="158" width="4.140625" style="2" customWidth="1"/>
    <col min="159" max="159" width="5.28515625" style="2" customWidth="1"/>
    <col min="160" max="160" width="33.28515625" style="2" customWidth="1"/>
    <col min="161" max="161" width="21.28515625" style="2" customWidth="1"/>
    <col min="162" max="162" width="4.140625" style="2" customWidth="1"/>
    <col min="163" max="163" width="7" style="102" customWidth="1"/>
    <col min="164" max="164" width="4.140625" style="2" customWidth="1"/>
    <col min="165" max="165" width="5.42578125" style="2" customWidth="1"/>
    <col min="166" max="166" width="11.42578125" style="2" customWidth="1"/>
    <col min="167" max="167" width="40" style="2" customWidth="1"/>
    <col min="168" max="168" width="12.140625" style="2" customWidth="1"/>
    <col min="169" max="169" width="20.140625" style="2" customWidth="1"/>
    <col min="170" max="170" width="15.5703125" style="2" customWidth="1"/>
    <col min="171" max="171" width="4.140625" style="2" customWidth="1"/>
    <col min="172" max="172" width="7" style="102" customWidth="1"/>
    <col min="173" max="173" width="4.140625" style="2" customWidth="1"/>
    <col min="174" max="174" width="5.7109375" style="2" customWidth="1"/>
    <col min="175" max="175" width="10.5703125" style="2" customWidth="1"/>
    <col min="176" max="176" width="37.7109375" style="2" customWidth="1"/>
    <col min="177" max="177" width="17.28515625" style="2" bestFit="1" customWidth="1"/>
    <col min="178" max="178" width="16.7109375" style="2" bestFit="1" customWidth="1"/>
    <col min="179" max="179" width="16.140625" style="2" bestFit="1" customWidth="1"/>
    <col min="180" max="180" width="15.5703125" style="2" bestFit="1" customWidth="1"/>
    <col min="181" max="181" width="15" style="2" bestFit="1" customWidth="1"/>
    <col min="182" max="182" width="16.140625" style="2" bestFit="1" customWidth="1"/>
    <col min="183" max="183" width="16.7109375" style="2" bestFit="1" customWidth="1"/>
    <col min="184" max="184" width="17.85546875" style="2" bestFit="1" customWidth="1"/>
    <col min="185" max="185" width="15.42578125" style="2" customWidth="1"/>
    <col min="186" max="186" width="3" style="2" customWidth="1"/>
    <col min="187" max="187" width="7" style="102" customWidth="1"/>
    <col min="188" max="188" width="4.140625" style="2" customWidth="1"/>
    <col min="189" max="189" width="5.42578125" style="2" customWidth="1"/>
    <col min="190" max="190" width="11" style="2" customWidth="1"/>
    <col min="191" max="191" width="37.7109375" style="2" customWidth="1"/>
    <col min="192" max="192" width="18" style="2" customWidth="1"/>
    <col min="193" max="197" width="16.5703125" style="2" customWidth="1"/>
    <col min="198" max="198" width="24.85546875" style="2" customWidth="1"/>
    <col min="199" max="199" width="16.5703125" style="2" customWidth="1"/>
    <col min="200" max="200" width="20.140625" style="2" bestFit="1" customWidth="1"/>
    <col min="201" max="201" width="4.7109375" style="2" customWidth="1"/>
    <col min="202" max="202" width="7" style="102" customWidth="1"/>
    <col min="203" max="203" width="4.140625" style="2" customWidth="1"/>
    <col min="204" max="204" width="6" style="2" customWidth="1"/>
    <col min="205" max="205" width="11.140625" style="2" customWidth="1"/>
    <col min="206" max="206" width="34.85546875" style="2" customWidth="1"/>
    <col min="207" max="207" width="16.140625" style="2" customWidth="1"/>
    <col min="208" max="208" width="17.85546875" style="2" bestFit="1" customWidth="1"/>
    <col min="209" max="209" width="20.140625" style="2" customWidth="1"/>
    <col min="210" max="210" width="15.5703125" style="2" customWidth="1"/>
    <col min="211" max="211" width="17.85546875" style="2" bestFit="1" customWidth="1"/>
    <col min="212" max="212" width="15.5703125" style="2" customWidth="1"/>
    <col min="213" max="213" width="3" style="2" customWidth="1"/>
    <col min="214" max="214" width="7" style="102" customWidth="1"/>
    <col min="215" max="215" width="4.140625" style="2" customWidth="1"/>
    <col min="216" max="216" width="5.85546875" style="2" customWidth="1"/>
    <col min="217" max="217" width="15.5703125" style="2" customWidth="1"/>
    <col min="218" max="218" width="17.7109375" style="2" bestFit="1" customWidth="1"/>
    <col min="219" max="219" width="15.5703125" style="2" customWidth="1"/>
    <col min="220" max="220" width="17.7109375" style="2" bestFit="1" customWidth="1"/>
    <col min="221" max="221" width="11" style="2" customWidth="1"/>
    <col min="222" max="222" width="3" style="2" customWidth="1"/>
    <col min="223" max="223" width="7" style="102" customWidth="1"/>
    <col min="224" max="224" width="4.140625" style="2" customWidth="1"/>
    <col min="225" max="225" width="7.5703125" style="2" customWidth="1"/>
    <col min="226" max="226" width="10.28515625" style="2"/>
    <col min="227" max="227" width="32.7109375" style="2" bestFit="1" customWidth="1"/>
    <col min="228" max="228" width="16.42578125" style="2" customWidth="1"/>
    <col min="229" max="229" width="21.85546875" style="2" customWidth="1"/>
    <col min="230" max="230" width="23.140625" style="2" customWidth="1"/>
    <col min="231" max="231" width="11.5703125" style="2" customWidth="1"/>
    <col min="232" max="232" width="11" style="2" customWidth="1"/>
    <col min="233" max="233" width="16.5703125" style="2" customWidth="1"/>
    <col min="234" max="234" width="4.140625" style="2" customWidth="1"/>
    <col min="235" max="235" width="7" style="102" customWidth="1"/>
    <col min="236" max="236" width="4.140625" style="2" customWidth="1"/>
    <col min="237" max="238" width="14.140625" style="2" bestFit="1" customWidth="1"/>
    <col min="239" max="239" width="17.140625" style="2" bestFit="1" customWidth="1"/>
    <col min="240" max="240" width="10.28515625" style="2"/>
    <col min="241" max="241" width="22.85546875" style="2" bestFit="1" customWidth="1"/>
    <col min="242" max="242" width="13.85546875" style="2" bestFit="1" customWidth="1"/>
    <col min="243" max="243" width="13.28515625" style="2" bestFit="1" customWidth="1"/>
    <col min="244" max="244" width="22.7109375" style="2" customWidth="1"/>
    <col min="245" max="245" width="8.5703125" style="2" bestFit="1" customWidth="1"/>
    <col min="246" max="246" width="10.28515625" style="2"/>
    <col min="247" max="247" width="13.85546875" style="2" bestFit="1" customWidth="1"/>
    <col min="248" max="248" width="7" style="102" customWidth="1"/>
    <col min="249" max="249" width="14.42578125" style="2" bestFit="1" customWidth="1"/>
    <col min="250" max="250" width="4.7109375" style="2" bestFit="1" customWidth="1"/>
    <col min="251" max="251" width="12.7109375" style="2" customWidth="1"/>
    <col min="252" max="252" width="34.140625" style="2" customWidth="1"/>
    <col min="253" max="253" width="19" style="2" bestFit="1" customWidth="1"/>
    <col min="254" max="254" width="20.7109375" style="2" bestFit="1" customWidth="1"/>
    <col min="255" max="255" width="25.5703125" style="2" bestFit="1" customWidth="1"/>
    <col min="256" max="256" width="26.5703125" style="2" bestFit="1" customWidth="1"/>
    <col min="257" max="257" width="30.140625" style="2" bestFit="1" customWidth="1"/>
    <col min="258" max="258" width="28.28515625" style="2" customWidth="1"/>
    <col min="259" max="259" width="22.140625" style="2" bestFit="1" customWidth="1"/>
    <col min="260" max="260" width="17.7109375" style="2" bestFit="1" customWidth="1"/>
    <col min="261" max="261" width="15.140625" style="2" bestFit="1" customWidth="1"/>
    <col min="262" max="262" width="19" style="2" bestFit="1" customWidth="1"/>
    <col min="263" max="263" width="12.140625" style="2" customWidth="1"/>
    <col min="264" max="264" width="10.28515625" style="2"/>
    <col min="265" max="265" width="7" style="102" customWidth="1"/>
    <col min="266" max="266" width="10.28515625" style="2"/>
    <col min="267" max="267" width="11.5703125" style="2" bestFit="1" customWidth="1"/>
    <col min="268" max="268" width="9.85546875" style="2" bestFit="1" customWidth="1"/>
    <col min="269" max="269" width="33.85546875" style="2" customWidth="1"/>
    <col min="270" max="270" width="18.85546875" style="2" customWidth="1"/>
    <col min="271" max="271" width="20.42578125" style="2" customWidth="1"/>
    <col min="272" max="272" width="16.28515625" style="2" bestFit="1" customWidth="1"/>
    <col min="273" max="273" width="8.7109375" style="2" bestFit="1" customWidth="1"/>
    <col min="274" max="274" width="12.42578125" style="2" customWidth="1"/>
    <col min="275" max="275" width="14.42578125" style="2" customWidth="1"/>
    <col min="276" max="277" width="10.28515625" style="2"/>
    <col min="278" max="278" width="7" style="102" customWidth="1"/>
    <col min="279" max="279" width="10.28515625" style="2"/>
    <col min="280" max="282" width="17.28515625" style="2" bestFit="1" customWidth="1"/>
    <col min="283" max="283" width="11.5703125" style="2" bestFit="1" customWidth="1"/>
    <col min="284" max="284" width="29.85546875" style="2" bestFit="1" customWidth="1"/>
    <col min="285" max="285" width="15.85546875" style="2" customWidth="1"/>
    <col min="286" max="286" width="17.28515625" style="2" bestFit="1" customWidth="1"/>
    <col min="287" max="288" width="12.7109375" style="2" customWidth="1"/>
    <col min="289" max="289" width="17.140625" style="2" bestFit="1" customWidth="1"/>
    <col min="290" max="291" width="16.7109375" style="2" bestFit="1" customWidth="1"/>
    <col min="292" max="292" width="17.28515625" style="2" bestFit="1" customWidth="1"/>
    <col min="293" max="293" width="10.28515625" style="2"/>
    <col min="294" max="294" width="4.140625" style="43" customWidth="1"/>
  </cols>
  <sheetData>
    <row r="1" spans="1:294" s="44" customFormat="1" x14ac:dyDescent="0.3">
      <c r="A1" s="2"/>
      <c r="B1" s="1000" t="s">
        <v>274</v>
      </c>
      <c r="C1" s="1000"/>
      <c r="D1" s="1000"/>
      <c r="E1" s="1000"/>
      <c r="F1" s="1000"/>
      <c r="G1" s="712"/>
      <c r="H1" s="92"/>
      <c r="I1" s="712"/>
      <c r="J1" s="1000" t="s">
        <v>275</v>
      </c>
      <c r="K1" s="1000"/>
      <c r="L1" s="1000"/>
      <c r="M1" s="1000"/>
      <c r="N1" s="1000"/>
      <c r="O1" s="1000"/>
      <c r="P1" s="1000"/>
      <c r="Q1" s="1000"/>
      <c r="R1" s="1000"/>
      <c r="S1" s="712"/>
      <c r="T1" s="92"/>
      <c r="U1" s="712"/>
      <c r="V1" s="998" t="s">
        <v>276</v>
      </c>
      <c r="W1" s="998"/>
      <c r="X1" s="998"/>
      <c r="Y1" s="998"/>
      <c r="Z1" s="998"/>
      <c r="AA1" s="712"/>
      <c r="AB1" s="92"/>
      <c r="AC1" s="712"/>
      <c r="AD1" s="1000" t="s">
        <v>277</v>
      </c>
      <c r="AE1" s="1000"/>
      <c r="AF1" s="1000"/>
      <c r="AG1" s="1000"/>
      <c r="AH1" s="713"/>
      <c r="AI1" s="92"/>
      <c r="AJ1" s="712"/>
      <c r="AK1" s="1001" t="s">
        <v>278</v>
      </c>
      <c r="AL1" s="1001"/>
      <c r="AM1" s="1001"/>
      <c r="AN1" s="25"/>
      <c r="AO1" s="92"/>
      <c r="AP1" s="25"/>
      <c r="AQ1" s="999" t="s">
        <v>279</v>
      </c>
      <c r="AR1" s="999"/>
      <c r="AS1" s="999"/>
      <c r="AT1" s="999"/>
      <c r="AU1" s="999"/>
      <c r="AV1" s="999"/>
      <c r="AW1" s="999"/>
      <c r="AX1" s="999"/>
      <c r="AY1" s="999"/>
      <c r="AZ1" s="999"/>
      <c r="BA1" s="999"/>
      <c r="BB1" s="712"/>
      <c r="BC1" s="92"/>
      <c r="BD1" s="712"/>
      <c r="BE1" s="1001" t="s">
        <v>280</v>
      </c>
      <c r="BF1" s="1001"/>
      <c r="BG1" s="1001"/>
      <c r="BH1" s="1001"/>
      <c r="BI1" s="712"/>
      <c r="BJ1" s="92"/>
      <c r="BK1" s="712"/>
      <c r="BL1" s="1002" t="s">
        <v>281</v>
      </c>
      <c r="BM1" s="1002"/>
      <c r="BN1" s="1002"/>
      <c r="BO1" s="1002"/>
      <c r="BP1" s="1002"/>
      <c r="BQ1" s="1002"/>
      <c r="BR1" s="1002"/>
      <c r="BS1" s="1002"/>
      <c r="BT1" s="1002"/>
      <c r="BU1" s="712"/>
      <c r="BV1" s="92"/>
      <c r="BW1" s="712"/>
      <c r="BX1" s="998" t="s">
        <v>282</v>
      </c>
      <c r="BY1" s="998"/>
      <c r="BZ1" s="998"/>
      <c r="CA1" s="998"/>
      <c r="CB1" s="998"/>
      <c r="CC1" s="998"/>
      <c r="CD1" s="998"/>
      <c r="CE1" s="998"/>
      <c r="CF1" s="712"/>
      <c r="CG1" s="92"/>
      <c r="CH1" s="712"/>
      <c r="CI1" s="998" t="s">
        <v>283</v>
      </c>
      <c r="CJ1" s="998"/>
      <c r="CK1" s="998"/>
      <c r="CL1" s="998"/>
      <c r="CM1" s="998"/>
      <c r="CN1" s="998"/>
      <c r="CO1" s="998"/>
      <c r="CP1" s="998"/>
      <c r="CQ1" s="998"/>
      <c r="CR1" s="998"/>
      <c r="CS1" s="712"/>
      <c r="CT1" s="92"/>
      <c r="CU1" s="712"/>
      <c r="CV1" s="998" t="s">
        <v>284</v>
      </c>
      <c r="CW1" s="998"/>
      <c r="CX1" s="998"/>
      <c r="CY1" s="998"/>
      <c r="CZ1" s="998"/>
      <c r="DA1" s="998"/>
      <c r="DB1" s="998"/>
      <c r="DC1" s="998"/>
      <c r="DD1" s="998"/>
      <c r="DE1" s="712"/>
      <c r="DF1" s="92"/>
      <c r="DG1" s="712"/>
      <c r="DH1" s="1003" t="s">
        <v>285</v>
      </c>
      <c r="DI1" s="1003"/>
      <c r="DJ1" s="1003"/>
      <c r="DK1" s="1003"/>
      <c r="DL1" s="1003"/>
      <c r="DM1" s="1003"/>
      <c r="DN1" s="1003"/>
      <c r="DO1" s="1003"/>
      <c r="DP1" s="1003"/>
      <c r="DQ1" s="1003"/>
      <c r="DR1" s="1003"/>
      <c r="DS1" s="1003"/>
      <c r="DT1" s="712"/>
      <c r="DU1" s="92"/>
      <c r="DV1" s="712"/>
      <c r="DW1" s="1003" t="s">
        <v>286</v>
      </c>
      <c r="DX1" s="1003"/>
      <c r="DY1" s="1003"/>
      <c r="DZ1" s="1003"/>
      <c r="EA1" s="1003"/>
      <c r="EB1" s="1003"/>
      <c r="EC1" s="712"/>
      <c r="ED1" s="92"/>
      <c r="EE1" s="712"/>
      <c r="EF1" s="1000" t="s">
        <v>287</v>
      </c>
      <c r="EG1" s="1000"/>
      <c r="EH1" s="1000"/>
      <c r="EI1" s="1000"/>
      <c r="EJ1" s="1000"/>
      <c r="EK1" s="712"/>
      <c r="EL1" s="92"/>
      <c r="EM1" s="712"/>
      <c r="EN1" s="1003" t="s">
        <v>288</v>
      </c>
      <c r="EO1" s="1003"/>
      <c r="EP1" s="1003"/>
      <c r="EQ1" s="1003"/>
      <c r="ER1" s="1003"/>
      <c r="ES1" s="1003"/>
      <c r="ET1" s="1003"/>
      <c r="EU1" s="1003"/>
      <c r="EV1" s="1003"/>
      <c r="EW1" s="1003"/>
      <c r="EX1" s="1003"/>
      <c r="EY1" s="1003"/>
      <c r="EZ1" s="712"/>
      <c r="FA1" s="92"/>
      <c r="FB1" s="712"/>
      <c r="FC1" s="1000" t="s">
        <v>289</v>
      </c>
      <c r="FD1" s="1000"/>
      <c r="FE1" s="1000"/>
      <c r="FF1" s="712"/>
      <c r="FG1" s="92"/>
      <c r="FH1" s="712"/>
      <c r="FI1" s="1003" t="s">
        <v>290</v>
      </c>
      <c r="FJ1" s="1003"/>
      <c r="FK1" s="1003"/>
      <c r="FL1" s="1003"/>
      <c r="FM1" s="1003"/>
      <c r="FN1" s="1003"/>
      <c r="FO1" s="712"/>
      <c r="FP1" s="92"/>
      <c r="FQ1" s="25"/>
      <c r="FR1" s="998" t="s">
        <v>291</v>
      </c>
      <c r="FS1" s="998"/>
      <c r="FT1" s="998"/>
      <c r="FU1" s="998"/>
      <c r="FV1" s="998"/>
      <c r="FW1" s="998"/>
      <c r="FX1" s="998"/>
      <c r="FY1" s="998"/>
      <c r="FZ1" s="998"/>
      <c r="GA1" s="998"/>
      <c r="GB1" s="998"/>
      <c r="GC1" s="998"/>
      <c r="GD1" s="714"/>
      <c r="GE1" s="92"/>
      <c r="GF1" s="25"/>
      <c r="GG1" s="999" t="s">
        <v>292</v>
      </c>
      <c r="GH1" s="999"/>
      <c r="GI1" s="999"/>
      <c r="GJ1" s="999"/>
      <c r="GK1" s="999"/>
      <c r="GL1" s="999"/>
      <c r="GM1" s="999"/>
      <c r="GN1" s="999"/>
      <c r="GO1" s="999"/>
      <c r="GP1" s="999"/>
      <c r="GQ1" s="999"/>
      <c r="GR1" s="999"/>
      <c r="GS1" s="78"/>
      <c r="GT1" s="92"/>
      <c r="GU1" s="25"/>
      <c r="GV1" s="1000" t="s">
        <v>293</v>
      </c>
      <c r="GW1" s="1000"/>
      <c r="GX1" s="1000"/>
      <c r="GY1" s="1000"/>
      <c r="GZ1" s="1000"/>
      <c r="HA1" s="1000"/>
      <c r="HB1" s="1000"/>
      <c r="HC1" s="1000"/>
      <c r="HD1" s="1000"/>
      <c r="HE1" s="715"/>
      <c r="HF1" s="92"/>
      <c r="HG1" s="25"/>
      <c r="HH1" s="1000" t="s">
        <v>294</v>
      </c>
      <c r="HI1" s="1000"/>
      <c r="HJ1" s="1000"/>
      <c r="HK1" s="1000"/>
      <c r="HL1" s="1000"/>
      <c r="HM1" s="1000"/>
      <c r="HN1" s="715"/>
      <c r="HO1" s="92"/>
      <c r="HP1" s="25"/>
      <c r="HQ1" s="998" t="s">
        <v>295</v>
      </c>
      <c r="HR1" s="998"/>
      <c r="HS1" s="998"/>
      <c r="HT1" s="998"/>
      <c r="HU1" s="998"/>
      <c r="HV1" s="998"/>
      <c r="HW1" s="998"/>
      <c r="HX1" s="998"/>
      <c r="HY1" s="998"/>
      <c r="HZ1" s="712"/>
      <c r="IA1" s="92"/>
      <c r="IB1" s="712"/>
      <c r="IC1" s="1001" t="s">
        <v>296</v>
      </c>
      <c r="ID1" s="1001"/>
      <c r="IE1" s="1001"/>
      <c r="IF1" s="1001"/>
      <c r="IG1" s="1001"/>
      <c r="IH1" s="1001"/>
      <c r="II1" s="1001"/>
      <c r="IJ1" s="1001"/>
      <c r="IK1" s="1001"/>
      <c r="IL1" s="1001"/>
      <c r="IM1" s="712"/>
      <c r="IN1" s="92"/>
      <c r="IO1" s="712"/>
      <c r="IP1" s="1001" t="s">
        <v>297</v>
      </c>
      <c r="IQ1" s="1001"/>
      <c r="IR1" s="1001"/>
      <c r="IS1" s="1001"/>
      <c r="IT1" s="1001"/>
      <c r="IU1" s="1001"/>
      <c r="IV1" s="1001"/>
      <c r="IW1" s="1001"/>
      <c r="IX1" s="1001"/>
      <c r="IY1" s="1001"/>
      <c r="IZ1" s="1001"/>
      <c r="JA1" s="1001"/>
      <c r="JB1" s="1001"/>
      <c r="JC1" s="1001"/>
      <c r="JD1" s="25"/>
      <c r="JE1" s="92"/>
      <c r="JF1" s="25"/>
      <c r="JG1" s="998" t="s">
        <v>298</v>
      </c>
      <c r="JH1" s="998"/>
      <c r="JI1" s="998"/>
      <c r="JJ1" s="998"/>
      <c r="JK1" s="998"/>
      <c r="JL1" s="998"/>
      <c r="JM1" s="998"/>
      <c r="JN1" s="998"/>
      <c r="JO1" s="998"/>
      <c r="JP1" s="25"/>
      <c r="JQ1" s="25"/>
      <c r="JR1" s="92"/>
      <c r="JS1" s="712"/>
      <c r="JT1" s="935" t="s">
        <v>448</v>
      </c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40"/>
      <c r="KH1" s="41"/>
    </row>
    <row r="2" spans="1:294" ht="82.5" x14ac:dyDescent="0.3">
      <c r="B2" s="698"/>
      <c r="C2" s="711"/>
      <c r="D2" s="699" t="s">
        <v>299</v>
      </c>
      <c r="E2" s="699" t="s">
        <v>300</v>
      </c>
      <c r="F2" s="699" t="s">
        <v>301</v>
      </c>
      <c r="G2" s="6"/>
      <c r="I2" s="6"/>
      <c r="J2" s="698"/>
      <c r="K2" s="699" t="s">
        <v>302</v>
      </c>
      <c r="L2" s="699" t="s">
        <v>303</v>
      </c>
      <c r="M2" s="699" t="s">
        <v>304</v>
      </c>
      <c r="N2" s="699" t="s">
        <v>305</v>
      </c>
      <c r="O2" s="699" t="s">
        <v>306</v>
      </c>
      <c r="P2" s="699" t="s">
        <v>307</v>
      </c>
      <c r="Q2" s="699" t="s">
        <v>308</v>
      </c>
      <c r="R2" s="699" t="s">
        <v>309</v>
      </c>
      <c r="S2" s="6"/>
      <c r="U2" s="6"/>
      <c r="V2" s="729"/>
      <c r="W2" s="160" t="s">
        <v>302</v>
      </c>
      <c r="X2" s="160" t="s">
        <v>303</v>
      </c>
      <c r="Y2" s="160" t="s">
        <v>310</v>
      </c>
      <c r="Z2" s="160" t="s">
        <v>311</v>
      </c>
      <c r="AA2" s="6"/>
      <c r="AC2" s="6"/>
      <c r="AD2" s="700"/>
      <c r="AE2" s="701" t="s">
        <v>302</v>
      </c>
      <c r="AF2" s="699" t="s">
        <v>303</v>
      </c>
      <c r="AG2" s="701" t="s">
        <v>312</v>
      </c>
      <c r="AH2" s="6"/>
      <c r="AJ2" s="6"/>
      <c r="AK2" s="698"/>
      <c r="AL2" s="699"/>
      <c r="AM2" s="699" t="s">
        <v>129</v>
      </c>
      <c r="AN2" s="46"/>
      <c r="AP2" s="46"/>
      <c r="AQ2" s="698"/>
      <c r="AR2" s="699" t="s">
        <v>302</v>
      </c>
      <c r="AS2" s="699" t="s">
        <v>303</v>
      </c>
      <c r="AT2" s="699" t="s">
        <v>313</v>
      </c>
      <c r="AU2" s="699" t="s">
        <v>314</v>
      </c>
      <c r="AV2" s="699" t="s">
        <v>315</v>
      </c>
      <c r="AW2" s="699" t="s">
        <v>316</v>
      </c>
      <c r="AX2" s="699" t="s">
        <v>317</v>
      </c>
      <c r="AY2" s="699" t="s">
        <v>318</v>
      </c>
      <c r="AZ2" s="47" t="s">
        <v>319</v>
      </c>
      <c r="BA2" s="47" t="s">
        <v>320</v>
      </c>
      <c r="BB2" s="6"/>
      <c r="BD2" s="9"/>
      <c r="BE2" s="698"/>
      <c r="BF2" s="699" t="s">
        <v>321</v>
      </c>
      <c r="BG2" s="699" t="s">
        <v>322</v>
      </c>
      <c r="BH2" s="699" t="s">
        <v>323</v>
      </c>
      <c r="BI2" s="6"/>
      <c r="BK2" s="6"/>
      <c r="BL2" s="698"/>
      <c r="BM2" s="699" t="s">
        <v>302</v>
      </c>
      <c r="BN2" s="699" t="s">
        <v>303</v>
      </c>
      <c r="BO2" s="699" t="str">
        <f>BF4</f>
        <v>Direct and Collector Labour Allocator</v>
      </c>
      <c r="BP2" s="699" t="s">
        <v>324</v>
      </c>
      <c r="BQ2" s="699" t="str">
        <f>BF5</f>
        <v>Volume Allocator</v>
      </c>
      <c r="BR2" s="699" t="s">
        <v>325</v>
      </c>
      <c r="BS2" s="699" t="s">
        <v>326</v>
      </c>
      <c r="BT2" s="699" t="s">
        <v>301</v>
      </c>
      <c r="BU2" s="6"/>
      <c r="BW2" s="6"/>
      <c r="BX2" s="698"/>
      <c r="BY2" s="722"/>
      <c r="BZ2" s="699" t="s">
        <v>327</v>
      </c>
      <c r="CA2" s="699" t="s">
        <v>328</v>
      </c>
      <c r="CB2" s="699" t="s">
        <v>329</v>
      </c>
      <c r="CC2" s="699" t="s">
        <v>330</v>
      </c>
      <c r="CD2" s="699" t="s">
        <v>331</v>
      </c>
      <c r="CE2" s="699" t="s">
        <v>332</v>
      </c>
      <c r="CF2" s="6"/>
      <c r="CH2" s="6"/>
      <c r="CI2" s="698"/>
      <c r="CJ2" s="699" t="s">
        <v>302</v>
      </c>
      <c r="CK2" s="699" t="s">
        <v>303</v>
      </c>
      <c r="CL2" s="699" t="s">
        <v>333</v>
      </c>
      <c r="CM2" s="699" t="s">
        <v>334</v>
      </c>
      <c r="CN2" s="699" t="s">
        <v>335</v>
      </c>
      <c r="CO2" s="699" t="s">
        <v>336</v>
      </c>
      <c r="CP2" s="699" t="s">
        <v>337</v>
      </c>
      <c r="CQ2" s="699" t="s">
        <v>338</v>
      </c>
      <c r="CR2" s="699" t="s">
        <v>301</v>
      </c>
      <c r="CS2" s="6"/>
      <c r="CU2" s="6"/>
      <c r="CV2" s="698"/>
      <c r="CW2" s="699" t="s">
        <v>339</v>
      </c>
      <c r="CX2" s="699" t="s">
        <v>338</v>
      </c>
      <c r="CY2" s="699" t="s">
        <v>308</v>
      </c>
      <c r="CZ2" s="723" t="s">
        <v>333</v>
      </c>
      <c r="DA2" s="699" t="str">
        <f>CX2</f>
        <v>Building Allocator</v>
      </c>
      <c r="DB2" s="699" t="str">
        <f>CY2</f>
        <v>Pallet Allocator</v>
      </c>
      <c r="DC2" s="699" t="str">
        <f>CZ2</f>
        <v>Volume Allocator</v>
      </c>
      <c r="DD2" s="699" t="s">
        <v>340</v>
      </c>
      <c r="DE2" s="6"/>
      <c r="DG2" s="6"/>
      <c r="DH2" s="698"/>
      <c r="DI2" s="699" t="s">
        <v>302</v>
      </c>
      <c r="DJ2" s="699" t="s">
        <v>303</v>
      </c>
      <c r="DK2" s="699" t="s">
        <v>338</v>
      </c>
      <c r="DL2" s="699" t="s">
        <v>341</v>
      </c>
      <c r="DM2" s="699" t="s">
        <v>308</v>
      </c>
      <c r="DN2" s="699" t="s">
        <v>342</v>
      </c>
      <c r="DO2" s="699" t="s">
        <v>333</v>
      </c>
      <c r="DP2" s="699" t="s">
        <v>343</v>
      </c>
      <c r="DQ2" s="699" t="s">
        <v>344</v>
      </c>
      <c r="DR2" s="699" t="s">
        <v>345</v>
      </c>
      <c r="DS2" s="699" t="s">
        <v>301</v>
      </c>
      <c r="DT2" s="6"/>
      <c r="DV2" s="6"/>
      <c r="DW2" s="698"/>
      <c r="DX2" s="699" t="s">
        <v>302</v>
      </c>
      <c r="DY2" s="699" t="s">
        <v>303</v>
      </c>
      <c r="DZ2" s="699" t="s">
        <v>308</v>
      </c>
      <c r="EA2" s="699" t="s">
        <v>346</v>
      </c>
      <c r="EB2" s="699" t="s">
        <v>301</v>
      </c>
      <c r="EC2" s="6"/>
      <c r="EE2" s="6"/>
      <c r="EF2" s="724"/>
      <c r="EG2" s="699" t="s">
        <v>321</v>
      </c>
      <c r="EH2" s="699" t="s">
        <v>347</v>
      </c>
      <c r="EI2" s="699" t="s">
        <v>322</v>
      </c>
      <c r="EJ2" s="699" t="s">
        <v>323</v>
      </c>
      <c r="EK2" s="6"/>
      <c r="EM2" s="6"/>
      <c r="EN2" s="698"/>
      <c r="EO2" s="699" t="s">
        <v>302</v>
      </c>
      <c r="EP2" s="699" t="s">
        <v>303</v>
      </c>
      <c r="EQ2" s="699" t="s">
        <v>311</v>
      </c>
      <c r="ER2" s="699" t="s">
        <v>348</v>
      </c>
      <c r="ES2" s="699" t="s">
        <v>338</v>
      </c>
      <c r="ET2" s="699" t="s">
        <v>349</v>
      </c>
      <c r="EU2" s="699" t="s">
        <v>333</v>
      </c>
      <c r="EV2" s="699" t="s">
        <v>350</v>
      </c>
      <c r="EW2" s="699" t="s">
        <v>351</v>
      </c>
      <c r="EX2" s="699" t="s">
        <v>345</v>
      </c>
      <c r="EY2" s="699" t="s">
        <v>301</v>
      </c>
      <c r="EZ2" s="6"/>
      <c r="FB2" s="6"/>
      <c r="FC2" s="726"/>
      <c r="FD2" s="725" t="s">
        <v>128</v>
      </c>
      <c r="FE2" s="725" t="s">
        <v>352</v>
      </c>
      <c r="FF2" s="6"/>
      <c r="FH2" s="6"/>
      <c r="FI2" s="698"/>
      <c r="FJ2" s="699" t="s">
        <v>302</v>
      </c>
      <c r="FK2" s="699" t="s">
        <v>303</v>
      </c>
      <c r="FL2" s="699" t="str">
        <f>Z2</f>
        <v>Business Cost Allocator</v>
      </c>
      <c r="FM2" s="699" t="s">
        <v>353</v>
      </c>
      <c r="FN2" s="699" t="s">
        <v>301</v>
      </c>
      <c r="FO2" s="6"/>
      <c r="FR2" s="698"/>
      <c r="FS2" s="699" t="s">
        <v>302</v>
      </c>
      <c r="FT2" s="699" t="s">
        <v>303</v>
      </c>
      <c r="FU2" s="699" t="s">
        <v>354</v>
      </c>
      <c r="FV2" s="699" t="s">
        <v>49</v>
      </c>
      <c r="FW2" s="699" t="s">
        <v>355</v>
      </c>
      <c r="FX2" s="699" t="s">
        <v>53</v>
      </c>
      <c r="FY2" s="699" t="s">
        <v>51</v>
      </c>
      <c r="FZ2" s="699" t="s">
        <v>54</v>
      </c>
      <c r="GA2" s="699" t="s">
        <v>352</v>
      </c>
      <c r="GB2" s="699" t="s">
        <v>356</v>
      </c>
      <c r="GC2" s="699" t="s">
        <v>301</v>
      </c>
      <c r="GD2" s="6"/>
      <c r="GG2" s="698"/>
      <c r="GH2" s="699" t="s">
        <v>302</v>
      </c>
      <c r="GI2" s="699" t="s">
        <v>303</v>
      </c>
      <c r="GJ2" s="699" t="s">
        <v>357</v>
      </c>
      <c r="GK2" s="699" t="s">
        <v>358</v>
      </c>
      <c r="GL2" s="699" t="s">
        <v>359</v>
      </c>
      <c r="GM2" s="699" t="s">
        <v>360</v>
      </c>
      <c r="GN2" s="699" t="s">
        <v>361</v>
      </c>
      <c r="GO2" s="699" t="s">
        <v>362</v>
      </c>
      <c r="GP2" s="699" t="s">
        <v>363</v>
      </c>
      <c r="GQ2" s="699" t="s">
        <v>301</v>
      </c>
      <c r="GR2" s="699" t="s">
        <v>119</v>
      </c>
      <c r="GS2" s="48"/>
      <c r="GV2" s="698"/>
      <c r="GW2" s="699" t="s">
        <v>302</v>
      </c>
      <c r="GX2" s="699" t="s">
        <v>303</v>
      </c>
      <c r="GY2" s="699" t="s">
        <v>309</v>
      </c>
      <c r="GZ2" s="699" t="s">
        <v>356</v>
      </c>
      <c r="HA2" s="699" t="s">
        <v>119</v>
      </c>
      <c r="HB2" s="699" t="s">
        <v>364</v>
      </c>
      <c r="HC2" s="699" t="s">
        <v>365</v>
      </c>
      <c r="HD2" s="699" t="s">
        <v>366</v>
      </c>
      <c r="HE2" s="6"/>
      <c r="HH2" s="698"/>
      <c r="HI2" s="699" t="s">
        <v>309</v>
      </c>
      <c r="HJ2" s="699" t="s">
        <v>356</v>
      </c>
      <c r="HK2" s="699" t="s">
        <v>119</v>
      </c>
      <c r="HL2" s="699" t="s">
        <v>365</v>
      </c>
      <c r="HM2" s="699" t="s">
        <v>366</v>
      </c>
      <c r="HN2" s="6"/>
      <c r="HQ2" s="698"/>
      <c r="HR2" s="727" t="s">
        <v>302</v>
      </c>
      <c r="HS2" s="727" t="str">
        <f>FT2</f>
        <v>Container Stream</v>
      </c>
      <c r="HT2" s="727" t="s">
        <v>119</v>
      </c>
      <c r="HU2" s="727" t="s">
        <v>367</v>
      </c>
      <c r="HV2" s="727" t="s">
        <v>368</v>
      </c>
      <c r="HW2" s="727" t="s">
        <v>74</v>
      </c>
      <c r="HX2" s="727" t="s">
        <v>369</v>
      </c>
      <c r="HY2" s="727" t="s">
        <v>370</v>
      </c>
      <c r="HZ2" s="6"/>
      <c r="IC2" s="727" t="s">
        <v>371</v>
      </c>
      <c r="ID2" s="727" t="s">
        <v>372</v>
      </c>
      <c r="IE2" s="727" t="s">
        <v>373</v>
      </c>
      <c r="IF2" s="727" t="s">
        <v>374</v>
      </c>
      <c r="IG2" s="727" t="s">
        <v>375</v>
      </c>
      <c r="IH2" s="727" t="s">
        <v>299</v>
      </c>
      <c r="II2" s="727" t="s">
        <v>376</v>
      </c>
      <c r="IJ2" s="727" t="s">
        <v>377</v>
      </c>
      <c r="IK2" s="727" t="s">
        <v>378</v>
      </c>
      <c r="IL2" s="727" t="s">
        <v>379</v>
      </c>
      <c r="IM2" s="6"/>
      <c r="IO2" s="6"/>
      <c r="IP2" s="698"/>
      <c r="IQ2" s="727" t="s">
        <v>302</v>
      </c>
      <c r="IR2" s="727" t="s">
        <v>303</v>
      </c>
      <c r="IS2" s="727" t="s">
        <v>356</v>
      </c>
      <c r="IT2" s="727" t="s">
        <v>119</v>
      </c>
      <c r="IU2" s="727" t="s">
        <v>380</v>
      </c>
      <c r="IV2" s="727" t="s">
        <v>381</v>
      </c>
      <c r="IW2" s="727" t="s">
        <v>382</v>
      </c>
      <c r="IX2" s="727" t="s">
        <v>383</v>
      </c>
      <c r="IY2" s="728" t="s">
        <v>384</v>
      </c>
      <c r="IZ2" s="728" t="s">
        <v>385</v>
      </c>
      <c r="JA2" s="728" t="s">
        <v>386</v>
      </c>
      <c r="JB2" s="728" t="s">
        <v>387</v>
      </c>
      <c r="JC2" s="728" t="s">
        <v>388</v>
      </c>
      <c r="JG2" s="698"/>
      <c r="JH2" s="727" t="s">
        <v>302</v>
      </c>
      <c r="JI2" s="727" t="str">
        <f>FT2</f>
        <v>Container Stream</v>
      </c>
      <c r="JJ2" s="727" t="s">
        <v>119</v>
      </c>
      <c r="JK2" s="727" t="s">
        <v>389</v>
      </c>
      <c r="JL2" s="727" t="s">
        <v>390</v>
      </c>
      <c r="JM2" s="727" t="s">
        <v>74</v>
      </c>
      <c r="JN2" s="727" t="s">
        <v>369</v>
      </c>
      <c r="JO2" s="727" t="s">
        <v>370</v>
      </c>
      <c r="JT2" s="932" t="s">
        <v>446</v>
      </c>
      <c r="JU2" s="932" t="s">
        <v>134</v>
      </c>
      <c r="JV2" s="933" t="s">
        <v>119</v>
      </c>
      <c r="JW2" s="934" t="s">
        <v>447</v>
      </c>
      <c r="KH2" s="45"/>
    </row>
    <row r="3" spans="1:294" ht="18.75" customHeight="1" x14ac:dyDescent="0.3">
      <c r="B3" s="696" t="s">
        <v>135</v>
      </c>
      <c r="C3" s="696" t="s">
        <v>136</v>
      </c>
      <c r="D3" s="696" t="s">
        <v>137</v>
      </c>
      <c r="E3" s="696" t="s">
        <v>161</v>
      </c>
      <c r="F3" s="696" t="s">
        <v>139</v>
      </c>
      <c r="G3" s="8"/>
      <c r="H3" s="112"/>
      <c r="I3" s="8"/>
      <c r="J3" s="696" t="s">
        <v>135</v>
      </c>
      <c r="K3" s="696" t="s">
        <v>136</v>
      </c>
      <c r="L3" s="696" t="s">
        <v>137</v>
      </c>
      <c r="M3" s="696" t="s">
        <v>149</v>
      </c>
      <c r="N3" s="696" t="s">
        <v>139</v>
      </c>
      <c r="O3" s="696" t="s">
        <v>140</v>
      </c>
      <c r="P3" s="696" t="s">
        <v>141</v>
      </c>
      <c r="Q3" s="696" t="s">
        <v>142</v>
      </c>
      <c r="R3" s="696" t="s">
        <v>143</v>
      </c>
      <c r="S3" s="696"/>
      <c r="T3" s="112"/>
      <c r="U3" s="696"/>
      <c r="V3" s="696" t="s">
        <v>135</v>
      </c>
      <c r="W3" s="228" t="s">
        <v>136</v>
      </c>
      <c r="X3" s="228" t="s">
        <v>137</v>
      </c>
      <c r="Y3" s="228" t="s">
        <v>149</v>
      </c>
      <c r="Z3" s="228" t="s">
        <v>139</v>
      </c>
      <c r="AA3" s="696"/>
      <c r="AB3" s="112"/>
      <c r="AC3" s="696"/>
      <c r="AD3" s="696" t="s">
        <v>135</v>
      </c>
      <c r="AE3" s="696" t="s">
        <v>136</v>
      </c>
      <c r="AF3" s="696" t="s">
        <v>137</v>
      </c>
      <c r="AG3" s="696" t="s">
        <v>149</v>
      </c>
      <c r="AH3" s="696"/>
      <c r="AI3" s="112"/>
      <c r="AJ3" s="696"/>
      <c r="AK3" s="775" t="s">
        <v>135</v>
      </c>
      <c r="AL3" s="228" t="s">
        <v>136</v>
      </c>
      <c r="AM3" s="228" t="s">
        <v>137</v>
      </c>
      <c r="AN3" s="696"/>
      <c r="AO3" s="112"/>
      <c r="AP3" s="696"/>
      <c r="AQ3" s="775" t="s">
        <v>135</v>
      </c>
      <c r="AR3" s="228" t="s">
        <v>136</v>
      </c>
      <c r="AS3" s="228" t="s">
        <v>137</v>
      </c>
      <c r="AT3" s="228" t="s">
        <v>149</v>
      </c>
      <c r="AU3" s="782" t="s">
        <v>139</v>
      </c>
      <c r="AV3" s="228" t="s">
        <v>140</v>
      </c>
      <c r="AW3" s="228" t="s">
        <v>141</v>
      </c>
      <c r="AX3" s="228" t="s">
        <v>142</v>
      </c>
      <c r="AY3" s="228" t="s">
        <v>143</v>
      </c>
      <c r="AZ3" s="696" t="s">
        <v>145</v>
      </c>
      <c r="BA3" s="696" t="s">
        <v>144</v>
      </c>
      <c r="BB3" s="696"/>
      <c r="BC3" s="112"/>
      <c r="BD3" s="696"/>
      <c r="BE3" s="696" t="s">
        <v>135</v>
      </c>
      <c r="BF3" s="696" t="s">
        <v>136</v>
      </c>
      <c r="BG3" s="696" t="s">
        <v>149</v>
      </c>
      <c r="BH3" s="696" t="s">
        <v>139</v>
      </c>
      <c r="BI3" s="696"/>
      <c r="BJ3" s="112"/>
      <c r="BK3" s="696"/>
      <c r="BL3" s="696" t="s">
        <v>135</v>
      </c>
      <c r="BM3" s="228" t="s">
        <v>136</v>
      </c>
      <c r="BN3" s="228" t="s">
        <v>137</v>
      </c>
      <c r="BO3" s="228" t="s">
        <v>161</v>
      </c>
      <c r="BP3" s="228" t="s">
        <v>139</v>
      </c>
      <c r="BQ3" s="228" t="s">
        <v>140</v>
      </c>
      <c r="BR3" s="228" t="s">
        <v>141</v>
      </c>
      <c r="BS3" s="226" t="s">
        <v>142</v>
      </c>
      <c r="BT3" s="226" t="s">
        <v>143</v>
      </c>
      <c r="BU3" s="696"/>
      <c r="BV3" s="112"/>
      <c r="BW3" s="696"/>
      <c r="BX3" s="696" t="s">
        <v>135</v>
      </c>
      <c r="BY3" s="696" t="s">
        <v>136</v>
      </c>
      <c r="BZ3" s="696" t="s">
        <v>137</v>
      </c>
      <c r="CA3" s="696" t="s">
        <v>149</v>
      </c>
      <c r="CB3" s="696" t="s">
        <v>139</v>
      </c>
      <c r="CC3" s="696" t="s">
        <v>140</v>
      </c>
      <c r="CD3" s="696" t="s">
        <v>141</v>
      </c>
      <c r="CE3" s="696" t="s">
        <v>142</v>
      </c>
      <c r="CF3" s="696"/>
      <c r="CG3" s="112"/>
      <c r="CH3" s="696"/>
      <c r="CI3" s="696" t="s">
        <v>135</v>
      </c>
      <c r="CJ3" s="696" t="s">
        <v>136</v>
      </c>
      <c r="CK3" s="696" t="s">
        <v>137</v>
      </c>
      <c r="CL3" s="696" t="s">
        <v>149</v>
      </c>
      <c r="CM3" s="696" t="s">
        <v>139</v>
      </c>
      <c r="CN3" s="696" t="s">
        <v>140</v>
      </c>
      <c r="CO3" s="696" t="s">
        <v>141</v>
      </c>
      <c r="CP3" s="696" t="s">
        <v>142</v>
      </c>
      <c r="CQ3" s="696" t="s">
        <v>143</v>
      </c>
      <c r="CR3" s="696" t="s">
        <v>144</v>
      </c>
      <c r="CS3" s="696"/>
      <c r="CT3" s="112"/>
      <c r="CU3" s="696"/>
      <c r="CV3" s="696" t="s">
        <v>135</v>
      </c>
      <c r="CW3" s="696" t="s">
        <v>136</v>
      </c>
      <c r="CX3" s="696" t="s">
        <v>137</v>
      </c>
      <c r="CY3" s="696" t="s">
        <v>161</v>
      </c>
      <c r="CZ3" s="696" t="s">
        <v>139</v>
      </c>
      <c r="DA3" s="696" t="s">
        <v>162</v>
      </c>
      <c r="DB3" s="696" t="s">
        <v>391</v>
      </c>
      <c r="DC3" s="696" t="s">
        <v>142</v>
      </c>
      <c r="DD3" s="696" t="s">
        <v>392</v>
      </c>
      <c r="DE3" s="696"/>
      <c r="DF3" s="112"/>
      <c r="DG3" s="696"/>
      <c r="DH3" s="696" t="s">
        <v>135</v>
      </c>
      <c r="DI3" s="696" t="s">
        <v>136</v>
      </c>
      <c r="DJ3" s="696" t="s">
        <v>137</v>
      </c>
      <c r="DK3" s="696" t="s">
        <v>149</v>
      </c>
      <c r="DL3" s="696" t="s">
        <v>139</v>
      </c>
      <c r="DM3" s="696" t="s">
        <v>140</v>
      </c>
      <c r="DN3" s="696" t="s">
        <v>141</v>
      </c>
      <c r="DO3" s="696" t="s">
        <v>142</v>
      </c>
      <c r="DP3" s="696" t="s">
        <v>143</v>
      </c>
      <c r="DQ3" s="696" t="s">
        <v>144</v>
      </c>
      <c r="DR3" s="696" t="s">
        <v>145</v>
      </c>
      <c r="DS3" s="696" t="s">
        <v>146</v>
      </c>
      <c r="DT3" s="696"/>
      <c r="DU3" s="112"/>
      <c r="DV3" s="696"/>
      <c r="DW3" s="696" t="s">
        <v>135</v>
      </c>
      <c r="DX3" s="696" t="s">
        <v>136</v>
      </c>
      <c r="DY3" s="696" t="s">
        <v>137</v>
      </c>
      <c r="DZ3" s="696" t="s">
        <v>149</v>
      </c>
      <c r="EA3" s="696" t="s">
        <v>139</v>
      </c>
      <c r="EB3" s="696" t="s">
        <v>162</v>
      </c>
      <c r="EC3" s="696"/>
      <c r="ED3" s="112"/>
      <c r="EE3" s="696"/>
      <c r="EF3" s="696" t="s">
        <v>135</v>
      </c>
      <c r="EG3" s="696" t="s">
        <v>136</v>
      </c>
      <c r="EH3" s="696" t="s">
        <v>137</v>
      </c>
      <c r="EI3" s="696" t="s">
        <v>149</v>
      </c>
      <c r="EJ3" s="696" t="s">
        <v>139</v>
      </c>
      <c r="EK3" s="696"/>
      <c r="EL3" s="112"/>
      <c r="EM3" s="696"/>
      <c r="EN3" s="696" t="s">
        <v>135</v>
      </c>
      <c r="EO3" s="696" t="s">
        <v>136</v>
      </c>
      <c r="EP3" s="696" t="s">
        <v>137</v>
      </c>
      <c r="EQ3" s="696" t="s">
        <v>149</v>
      </c>
      <c r="ER3" s="696" t="s">
        <v>139</v>
      </c>
      <c r="ES3" s="696" t="s">
        <v>140</v>
      </c>
      <c r="ET3" s="696" t="s">
        <v>141</v>
      </c>
      <c r="EU3" s="696" t="s">
        <v>142</v>
      </c>
      <c r="EV3" s="696" t="s">
        <v>143</v>
      </c>
      <c r="EW3" s="696" t="s">
        <v>144</v>
      </c>
      <c r="EX3" s="696" t="s">
        <v>145</v>
      </c>
      <c r="EY3" s="696" t="s">
        <v>146</v>
      </c>
      <c r="EZ3" s="696"/>
      <c r="FA3" s="112"/>
      <c r="FB3" s="696"/>
      <c r="FC3" s="696" t="s">
        <v>135</v>
      </c>
      <c r="FD3" s="696" t="s">
        <v>136</v>
      </c>
      <c r="FE3" s="696" t="s">
        <v>137</v>
      </c>
      <c r="FF3" s="696"/>
      <c r="FG3" s="112"/>
      <c r="FH3" s="696"/>
      <c r="FI3" s="696" t="s">
        <v>135</v>
      </c>
      <c r="FJ3" s="696" t="s">
        <v>136</v>
      </c>
      <c r="FK3" s="696" t="s">
        <v>137</v>
      </c>
      <c r="FL3" s="696" t="s">
        <v>149</v>
      </c>
      <c r="FM3" s="696" t="s">
        <v>139</v>
      </c>
      <c r="FN3" s="696" t="s">
        <v>162</v>
      </c>
      <c r="FO3" s="696"/>
      <c r="FP3" s="112"/>
      <c r="FQ3" s="696"/>
      <c r="FR3" s="696" t="s">
        <v>135</v>
      </c>
      <c r="FS3" s="696" t="s">
        <v>136</v>
      </c>
      <c r="FT3" s="696" t="s">
        <v>137</v>
      </c>
      <c r="FU3" s="696" t="s">
        <v>149</v>
      </c>
      <c r="FV3" s="696" t="s">
        <v>139</v>
      </c>
      <c r="FW3" s="696" t="s">
        <v>140</v>
      </c>
      <c r="FX3" s="696" t="s">
        <v>141</v>
      </c>
      <c r="FY3" s="696" t="s">
        <v>142</v>
      </c>
      <c r="FZ3" s="696" t="s">
        <v>143</v>
      </c>
      <c r="GA3" s="696" t="s">
        <v>144</v>
      </c>
      <c r="GB3" s="696" t="s">
        <v>145</v>
      </c>
      <c r="GC3" s="696" t="s">
        <v>146</v>
      </c>
      <c r="GD3" s="696"/>
      <c r="GE3" s="112"/>
      <c r="GF3" s="696"/>
      <c r="GG3" s="696" t="s">
        <v>135</v>
      </c>
      <c r="GH3" s="696" t="s">
        <v>136</v>
      </c>
      <c r="GI3" s="696" t="s">
        <v>137</v>
      </c>
      <c r="GJ3" s="696" t="s">
        <v>149</v>
      </c>
      <c r="GK3" s="696" t="s">
        <v>139</v>
      </c>
      <c r="GL3" s="696" t="s">
        <v>140</v>
      </c>
      <c r="GM3" s="696" t="s">
        <v>141</v>
      </c>
      <c r="GN3" s="696" t="s">
        <v>142</v>
      </c>
      <c r="GO3" s="696" t="s">
        <v>143</v>
      </c>
      <c r="GP3" s="696" t="s">
        <v>144</v>
      </c>
      <c r="GQ3" s="696" t="s">
        <v>145</v>
      </c>
      <c r="GR3" s="696" t="s">
        <v>146</v>
      </c>
      <c r="GS3" s="716"/>
      <c r="GT3" s="112"/>
      <c r="GU3" s="696"/>
      <c r="GV3" s="696" t="s">
        <v>135</v>
      </c>
      <c r="GW3" s="696" t="s">
        <v>136</v>
      </c>
      <c r="GX3" s="696" t="s">
        <v>137</v>
      </c>
      <c r="GY3" s="696" t="s">
        <v>149</v>
      </c>
      <c r="GZ3" s="696" t="s">
        <v>139</v>
      </c>
      <c r="HA3" s="696" t="s">
        <v>140</v>
      </c>
      <c r="HB3" s="696" t="s">
        <v>141</v>
      </c>
      <c r="HC3" s="696" t="s">
        <v>142</v>
      </c>
      <c r="HD3" s="696" t="s">
        <v>143</v>
      </c>
      <c r="HE3" s="696"/>
      <c r="HF3" s="112"/>
      <c r="HG3" s="696"/>
      <c r="HH3" s="696" t="s">
        <v>135</v>
      </c>
      <c r="HI3" s="696" t="s">
        <v>136</v>
      </c>
      <c r="HJ3" s="696" t="s">
        <v>137</v>
      </c>
      <c r="HK3" s="696" t="s">
        <v>149</v>
      </c>
      <c r="HL3" s="696" t="s">
        <v>139</v>
      </c>
      <c r="HM3" s="696" t="s">
        <v>140</v>
      </c>
      <c r="HN3" s="696"/>
      <c r="HO3" s="112"/>
      <c r="HP3" s="696"/>
      <c r="HQ3" s="696" t="s">
        <v>135</v>
      </c>
      <c r="HR3" s="696" t="s">
        <v>136</v>
      </c>
      <c r="HS3" s="696" t="s">
        <v>137</v>
      </c>
      <c r="HT3" s="696" t="s">
        <v>149</v>
      </c>
      <c r="HU3" s="696" t="s">
        <v>139</v>
      </c>
      <c r="HV3" s="696"/>
      <c r="HW3" s="696"/>
      <c r="HX3" s="696" t="s">
        <v>142</v>
      </c>
      <c r="HY3" s="696" t="s">
        <v>143</v>
      </c>
      <c r="HZ3" s="696"/>
      <c r="IA3" s="112"/>
      <c r="IB3" s="696"/>
      <c r="IC3" s="696" t="s">
        <v>136</v>
      </c>
      <c r="ID3" s="696" t="s">
        <v>137</v>
      </c>
      <c r="IE3" s="696" t="s">
        <v>149</v>
      </c>
      <c r="IF3" s="696" t="s">
        <v>139</v>
      </c>
      <c r="IG3" s="696" t="s">
        <v>140</v>
      </c>
      <c r="IH3" s="696" t="s">
        <v>141</v>
      </c>
      <c r="II3" s="696" t="s">
        <v>142</v>
      </c>
      <c r="IJ3" s="696" t="s">
        <v>143</v>
      </c>
      <c r="IK3" s="696" t="s">
        <v>144</v>
      </c>
      <c r="IL3" s="696" t="s">
        <v>145</v>
      </c>
      <c r="IM3" s="696"/>
      <c r="IN3" s="112"/>
      <c r="IO3" s="696"/>
      <c r="IP3" s="696" t="s">
        <v>135</v>
      </c>
      <c r="IQ3" s="696" t="s">
        <v>136</v>
      </c>
      <c r="IR3" s="696" t="s">
        <v>137</v>
      </c>
      <c r="IS3" s="696" t="s">
        <v>149</v>
      </c>
      <c r="IT3" s="696" t="s">
        <v>139</v>
      </c>
      <c r="IU3" s="696" t="s">
        <v>140</v>
      </c>
      <c r="IV3" s="696" t="s">
        <v>141</v>
      </c>
      <c r="IW3" s="696" t="s">
        <v>142</v>
      </c>
      <c r="IX3" s="696" t="s">
        <v>143</v>
      </c>
      <c r="IY3" s="696" t="s">
        <v>144</v>
      </c>
      <c r="IZ3" s="696" t="s">
        <v>145</v>
      </c>
      <c r="JA3" s="696" t="s">
        <v>146</v>
      </c>
      <c r="JB3" s="696" t="s">
        <v>147</v>
      </c>
      <c r="JC3" s="696" t="s">
        <v>148</v>
      </c>
      <c r="JD3" s="696"/>
      <c r="JE3" s="112"/>
      <c r="JF3" s="696"/>
      <c r="JG3" s="696" t="s">
        <v>135</v>
      </c>
      <c r="JH3" s="696" t="s">
        <v>136</v>
      </c>
      <c r="JI3" s="696" t="s">
        <v>137</v>
      </c>
      <c r="JJ3" s="696" t="s">
        <v>149</v>
      </c>
      <c r="JK3" s="696" t="s">
        <v>139</v>
      </c>
      <c r="JL3" s="696" t="s">
        <v>140</v>
      </c>
      <c r="JM3" s="696" t="s">
        <v>141</v>
      </c>
      <c r="JN3" s="696" t="s">
        <v>142</v>
      </c>
      <c r="JO3" s="696" t="s">
        <v>143</v>
      </c>
      <c r="JP3" s="696"/>
      <c r="JR3" s="112"/>
      <c r="JT3" s="936">
        <v>3.3121089265402568</v>
      </c>
      <c r="JU3" s="936">
        <f>JK4-JT3</f>
        <v>0</v>
      </c>
      <c r="JV3" s="13">
        <v>1110736372</v>
      </c>
      <c r="JW3" s="13">
        <f>JJ4-JV3</f>
        <v>0</v>
      </c>
      <c r="JX3" s="935" t="s">
        <v>459</v>
      </c>
      <c r="JY3" s="912">
        <f>SUMPRODUCT(JT3:JT26,JW3:JW26)/100</f>
        <v>0</v>
      </c>
      <c r="KH3" s="50"/>
    </row>
    <row r="4" spans="1:294" ht="17.25" thickBot="1" x14ac:dyDescent="0.35">
      <c r="B4" s="756">
        <v>1</v>
      </c>
      <c r="C4" s="764" t="s">
        <v>47</v>
      </c>
      <c r="D4" s="906">
        <f>'Actuals Phase I'!LJ27</f>
        <v>34044203.143779494</v>
      </c>
      <c r="E4" s="765">
        <v>0.29875344528702852</v>
      </c>
      <c r="F4" s="766">
        <v>1.545488877705318</v>
      </c>
      <c r="H4" s="152"/>
      <c r="J4" s="756">
        <v>1</v>
      </c>
      <c r="K4" s="757">
        <v>1</v>
      </c>
      <c r="L4" s="732" t="s">
        <v>398</v>
      </c>
      <c r="M4" s="904">
        <v>1110736372</v>
      </c>
      <c r="N4" s="944">
        <f>M4/$M$28</f>
        <v>0.50423583179165032</v>
      </c>
      <c r="O4" s="753">
        <v>2233.0532719472985</v>
      </c>
      <c r="P4" s="948">
        <f>IFERROR(M4/O4,0)</f>
        <v>497407.01932802529</v>
      </c>
      <c r="Q4" s="733">
        <f>P4/$P$28</f>
        <v>0.28193812639894272</v>
      </c>
      <c r="R4" s="758" t="s">
        <v>397</v>
      </c>
      <c r="T4" s="152"/>
      <c r="V4" s="730">
        <v>1</v>
      </c>
      <c r="W4" s="731">
        <f t="shared" ref="W4:W27" si="0">FS4</f>
        <v>1</v>
      </c>
      <c r="X4" s="732" t="s">
        <v>398</v>
      </c>
      <c r="Y4" s="924">
        <f>SUM(FU4:FY4)</f>
        <v>28700465.534132823</v>
      </c>
      <c r="Z4" s="944">
        <f>SUM(FU4:FY4)/SUM($FU$28:$FY$28)</f>
        <v>0.34302829388341843</v>
      </c>
      <c r="AB4" s="152"/>
      <c r="AD4" s="730">
        <v>1</v>
      </c>
      <c r="AE4" s="746">
        <v>1</v>
      </c>
      <c r="AF4" s="747" t="s">
        <v>398</v>
      </c>
      <c r="AG4" s="748">
        <v>1.94</v>
      </c>
      <c r="AI4" s="152"/>
      <c r="AK4" s="730">
        <v>1</v>
      </c>
      <c r="AL4" s="776" t="s">
        <v>394</v>
      </c>
      <c r="AM4" s="908">
        <f>'Actuals Phase I'!LJ27+'Actuals Phase I'!LL27</f>
        <v>36083427.474243842</v>
      </c>
      <c r="AN4" s="52"/>
      <c r="AO4" s="152"/>
      <c r="AP4" s="52"/>
      <c r="AQ4" s="730">
        <v>1</v>
      </c>
      <c r="AR4" s="783">
        <f t="shared" ref="AR4:AR27" si="1">FS4</f>
        <v>1</v>
      </c>
      <c r="AS4" s="732" t="s">
        <v>398</v>
      </c>
      <c r="AT4" s="732">
        <f t="shared" ref="AT4:AT27" si="2">VLOOKUP(AR4,$AE$4:$AG$27,$AT$30,FALSE)</f>
        <v>1.94</v>
      </c>
      <c r="AU4" s="784">
        <f>$M4</f>
        <v>1110736372</v>
      </c>
      <c r="AV4" s="784">
        <f>AU4*AT4/3600</f>
        <v>598563.4893555555</v>
      </c>
      <c r="AW4" s="785">
        <f t="shared" ref="AW4:AW27" si="3">AV4*$AM$5/$AV$28</f>
        <v>619419.16869806568</v>
      </c>
      <c r="AX4" s="786">
        <f t="shared" ref="AX4:AX27" si="4">$AM$6</f>
        <v>18.326441541544678</v>
      </c>
      <c r="AY4" s="379">
        <f>AW4*AX4</f>
        <v>11351749.184857301</v>
      </c>
      <c r="AZ4" s="51">
        <f>AY4/$AY$28</f>
        <v>0.31459730905441613</v>
      </c>
      <c r="BA4" s="53">
        <f t="shared" ref="BA4:BA27" si="5">IF($AU4=0,0,ROUND(IF(VLOOKUP(AR4,$AR$4:$AU$27,$BA$30,FALSE)&lt;&gt;0,AY4/VLOOKUP(AR4,$AR$4:$AU$27,$BA$30,FALSE)*100,""),6))</f>
        <v>1.0220020000000001</v>
      </c>
      <c r="BC4" s="152"/>
      <c r="BE4" s="756">
        <v>1</v>
      </c>
      <c r="BF4" s="732" t="str">
        <f>AZ2</f>
        <v>Direct and Collector Labour Allocator</v>
      </c>
      <c r="BG4" s="733">
        <v>0.5</v>
      </c>
      <c r="BH4" s="379">
        <f>BG4*$BH$6</f>
        <v>7855598.930964387</v>
      </c>
      <c r="BJ4" s="152"/>
      <c r="BL4" s="756">
        <v>1</v>
      </c>
      <c r="BM4" s="758">
        <f t="shared" ref="BM4:BM27" si="6">FS4</f>
        <v>1</v>
      </c>
      <c r="BN4" s="732" t="s">
        <v>398</v>
      </c>
      <c r="BO4" s="733">
        <f t="shared" ref="BO4:BO27" si="7">VLOOKUP(BM4,$AR$4:$AZ$28,$BO$30,FALSE)</f>
        <v>0.31459730905441613</v>
      </c>
      <c r="BP4" s="379">
        <f>BO4*$BP$28</f>
        <v>2471350.284692144</v>
      </c>
      <c r="BQ4" s="733">
        <f t="shared" ref="BQ4:BQ27" si="8">VLOOKUP(BM4,$K$4:$N$27,$BQ$30,FALSE)</f>
        <v>0.50423583179165032</v>
      </c>
      <c r="BR4" s="379">
        <f>BQ4*$BR$28</f>
        <v>3961074.4611764266</v>
      </c>
      <c r="BS4" s="807">
        <f t="shared" ref="BS4:BS27" si="9">BR4+BP4</f>
        <v>6432424.7458685711</v>
      </c>
      <c r="BT4" s="808">
        <f t="shared" ref="BT4:BT26" si="10">IF($AU4=0,0,ROUND(IF(VLOOKUP(BM4,$AR$4:$AU$27,$BA$30,FALSE)&lt;&gt;0,BS4/VLOOKUP(BM4,$AR$4:$AU$27,$BA$30,FALSE)*100,""),6))</f>
        <v>0.57911400000000002</v>
      </c>
      <c r="BV4" s="152"/>
      <c r="BX4" s="756">
        <v>1</v>
      </c>
      <c r="BY4" s="732" t="s">
        <v>395</v>
      </c>
      <c r="BZ4" s="765">
        <v>7.7020923698511642E-2</v>
      </c>
      <c r="CA4" s="821">
        <f>BZ4*$CA$9</f>
        <v>1752639.4670561224</v>
      </c>
      <c r="CB4" s="766">
        <v>1</v>
      </c>
      <c r="CC4" s="766"/>
      <c r="CD4" s="821">
        <f t="shared" ref="CD4:CE8" si="11">CB4*$CA4</f>
        <v>1752639.4670561224</v>
      </c>
      <c r="CE4" s="821">
        <f t="shared" si="11"/>
        <v>0</v>
      </c>
      <c r="CG4" s="152"/>
      <c r="CI4" s="730">
        <v>1</v>
      </c>
      <c r="CJ4" s="746">
        <f t="shared" ref="CJ4:CJ27" si="12">FS4</f>
        <v>1</v>
      </c>
      <c r="CK4" s="732" t="s">
        <v>398</v>
      </c>
      <c r="CL4" s="733">
        <f t="shared" ref="CL4:CL27" si="13">VLOOKUP(CJ4,$K$4:$N$27,$CL$31,FALSE)</f>
        <v>0.50423583179165032</v>
      </c>
      <c r="CM4" s="379">
        <f t="shared" ref="CM4:CM27" si="14">CL4*$CM$28</f>
        <v>2699799.7228622665</v>
      </c>
      <c r="CN4" s="733">
        <f t="shared" ref="CN4:CN27" si="15">VLOOKUP(CJ4,$K$4:$Q$27,$CN$31,FALSE)</f>
        <v>0.28193812639894272</v>
      </c>
      <c r="CO4" s="379">
        <f t="shared" ref="CO4:CO27" si="16">CN4*$CO$28</f>
        <v>4906041.4072321123</v>
      </c>
      <c r="CP4" s="379">
        <f t="shared" ref="CP4:CP27" si="17">CO4+CM4</f>
        <v>7605841.1300943792</v>
      </c>
      <c r="CQ4" s="733">
        <f t="shared" ref="CQ4:CQ27" si="18">CP4/$CP$28</f>
        <v>0.33424381931098113</v>
      </c>
      <c r="CR4" s="808">
        <f t="shared" ref="CR4:CR27" si="19">IF($AU4=0,0,ROUND(IF(VLOOKUP(CJ4,$AR$4:$AU$27,$BA$30,FALSE)&lt;&gt;0,CP4/VLOOKUP(CJ4,$AR$4:$AU$27,$BA$30,FALSE)*100,""),6))</f>
        <v>0.68475699999999995</v>
      </c>
      <c r="CT4" s="152"/>
      <c r="CV4" s="756">
        <v>1</v>
      </c>
      <c r="CW4" s="831" t="s">
        <v>393</v>
      </c>
      <c r="CX4" s="733">
        <v>0</v>
      </c>
      <c r="CY4" s="733">
        <v>0.5</v>
      </c>
      <c r="CZ4" s="832">
        <v>0.5</v>
      </c>
      <c r="DA4" s="906">
        <v>0</v>
      </c>
      <c r="DB4" s="906">
        <f>DD4*0.5</f>
        <v>1954101.5837166219</v>
      </c>
      <c r="DC4" s="906">
        <f>DB4</f>
        <v>1954101.5837166219</v>
      </c>
      <c r="DD4" s="906">
        <f>$DD$7*DD11</f>
        <v>3908203.1674332437</v>
      </c>
      <c r="DF4" s="152"/>
      <c r="DH4" s="730">
        <v>1</v>
      </c>
      <c r="DI4" s="840">
        <f t="shared" ref="DI4:DI27" si="20">FS4</f>
        <v>1</v>
      </c>
      <c r="DJ4" s="732" t="s">
        <v>398</v>
      </c>
      <c r="DK4" s="733">
        <f t="shared" ref="DK4:DK27" si="21">VLOOKUP(DI4,$CJ$4:$CQ$27,$DK$31,FALSE)</f>
        <v>0.33424381931098113</v>
      </c>
      <c r="DL4" s="379">
        <f>DK4*$DL$28</f>
        <v>105537.48542553003</v>
      </c>
      <c r="DM4" s="733">
        <f t="shared" ref="DM4:DM27" si="22">VLOOKUP(DI4,$K$4:$R$27,$DM$31,FALSE)</f>
        <v>0.28193812639894272</v>
      </c>
      <c r="DN4" s="379">
        <f t="shared" ref="DN4:DN27" si="23">DM4*$DN$28</f>
        <v>550935.73930627108</v>
      </c>
      <c r="DO4" s="733">
        <f t="shared" ref="DO4:DO27" si="24">VLOOKUP(DI4,$K$4:$R$27,$DO$31,FALSE)</f>
        <v>0.50423583179165032</v>
      </c>
      <c r="DP4" s="379">
        <f t="shared" ref="DP4:DP27" si="25">DO4*$DP$28</f>
        <v>1640524.1087779489</v>
      </c>
      <c r="DQ4" s="379">
        <f>DL4+DN4+DP4</f>
        <v>2296997.3335097497</v>
      </c>
      <c r="DR4" s="733">
        <f t="shared" ref="DR4:DR27" si="26">DQ4/$DQ$28</f>
        <v>0.41587127178209238</v>
      </c>
      <c r="DS4" s="808">
        <f t="shared" ref="DS4:DS27" si="27">IF($AU4=0,0,ROUND(IF(VLOOKUP(DI4,$AR$4:$AU$27,$BA$30,FALSE)&lt;&gt;0,DQ4/VLOOKUP(DI4,$AR$4:$AU$27,$BA$30,FALSE)*100,""),6))</f>
        <v>0.20680000000000001</v>
      </c>
      <c r="DU4" s="152"/>
      <c r="DW4" s="730">
        <v>1</v>
      </c>
      <c r="DX4" s="840">
        <f t="shared" ref="DX4:DX27" si="28">GH4</f>
        <v>1</v>
      </c>
      <c r="DY4" s="732" t="s">
        <v>398</v>
      </c>
      <c r="DZ4" s="733">
        <f t="shared" ref="DZ4:DZ27" si="29">VLOOKUP(DX4,$K$4:$R$27,$DZ$32,FALSE)</f>
        <v>0.28193812639894272</v>
      </c>
      <c r="EA4" s="379">
        <f t="shared" ref="EA4:EA27" si="30">DZ4*$EA$28</f>
        <v>1013453.1398028216</v>
      </c>
      <c r="EB4" s="808">
        <f t="shared" ref="EB4:EB27" si="31">IF($AU4=0,0,ROUND(IF(VLOOKUP(DX4,$AR$4:$AU$27,$BA$30,FALSE)&lt;&gt;0,EA4/VLOOKUP(DX4,$AR$4:$AU$27,$BA$30,FALSE)*100,""),6))</f>
        <v>9.1242000000000004E-2</v>
      </c>
      <c r="ED4" s="152"/>
      <c r="EF4" s="756">
        <v>1</v>
      </c>
      <c r="EG4" s="732" t="s">
        <v>396</v>
      </c>
      <c r="EH4" s="379">
        <v>6463181.7817969695</v>
      </c>
      <c r="EI4" s="765">
        <f>EH4/$EH$7</f>
        <v>0.66842565170833068</v>
      </c>
      <c r="EJ4" s="379">
        <f>EI4*$EJ$7</f>
        <v>7153605.0401111506</v>
      </c>
      <c r="EL4" s="152"/>
      <c r="EN4" s="730">
        <v>1</v>
      </c>
      <c r="EO4" s="840">
        <f t="shared" ref="EO4:EO27" si="32">FS4</f>
        <v>1</v>
      </c>
      <c r="EP4" s="732" t="s">
        <v>398</v>
      </c>
      <c r="EQ4" s="733">
        <f t="shared" ref="EQ4:EQ27" si="33">VLOOKUP(EO4,$W$4:$Z$27,$EQ$31,FALSE)</f>
        <v>0.34302829388341843</v>
      </c>
      <c r="ER4" s="379">
        <f t="shared" ref="ER4:ER27" si="34">EQ4*$ER$28</f>
        <v>2453888.9320251509</v>
      </c>
      <c r="ES4" s="733">
        <f t="shared" ref="ES4:ES27" si="35">VLOOKUP(EO4,$CJ$4:$CQ$27,$ES$31,FALSE)</f>
        <v>0.33424381931098113</v>
      </c>
      <c r="ET4" s="379">
        <f t="shared" ref="ET4:ET27" si="36">ES4*$ET$28</f>
        <v>322379.30921787198</v>
      </c>
      <c r="EU4" s="733">
        <f t="shared" ref="EU4:EU27" si="37">VLOOKUP(EO4,$K$4:$N$27,$EU$31,FALSE)</f>
        <v>0.50423583179165032</v>
      </c>
      <c r="EV4" s="379">
        <f t="shared" ref="EV4:EV27" si="38">EU4*$EV$28</f>
        <v>1302976.4791171353</v>
      </c>
      <c r="EW4" s="379">
        <f t="shared" ref="EW4:EW27" si="39">ER4+ET4+EV4</f>
        <v>4079244.720360158</v>
      </c>
      <c r="EX4" s="733">
        <f t="shared" ref="EX4:EX27" si="40">EW4/$EW$28</f>
        <v>0.38116051912227733</v>
      </c>
      <c r="EY4" s="808">
        <f t="shared" ref="EY4:EY27" si="41">IF($AU4=0,0,ROUND(IF(VLOOKUP(EO4,$AR$4:$AU$27,$BA$30,FALSE)&lt;&gt;0,EW4/VLOOKUP(EO4,$AR$4:$AU$27,$BA$30,FALSE)*100,""),6))</f>
        <v>0.36725600000000003</v>
      </c>
      <c r="FA4" s="152"/>
      <c r="FC4" s="756">
        <v>1</v>
      </c>
      <c r="FD4" s="764" t="s">
        <v>250</v>
      </c>
      <c r="FE4" s="379">
        <f>D11</f>
        <v>18998322.143907189</v>
      </c>
      <c r="FG4" s="152"/>
      <c r="FI4" s="730">
        <v>1</v>
      </c>
      <c r="FJ4" s="731">
        <f t="shared" ref="FJ4:FJ27" si="42">FS4</f>
        <v>1</v>
      </c>
      <c r="FK4" s="732" t="s">
        <v>398</v>
      </c>
      <c r="FL4" s="733">
        <f t="shared" ref="FL4:FL28" si="43">Z4</f>
        <v>0.34302829388341843</v>
      </c>
      <c r="FM4" s="379">
        <f t="shared" ref="FM4:FM27" si="44">Z4*$FM$28</f>
        <v>6446746.3395223552</v>
      </c>
      <c r="FN4" s="808">
        <f t="shared" ref="FN4:FN27" si="45">IF($AU4=0,0,ROUND(IF(VLOOKUP(FJ4,$AR$4:$AU$27,$BA$30,FALSE)&lt;&gt;0,FM4/VLOOKUP(FJ4,$AR$4:$AU$27,$BA$30,FALSE)*100,""),6))</f>
        <v>0.580403</v>
      </c>
      <c r="FP4" s="152"/>
      <c r="FR4" s="730">
        <v>1</v>
      </c>
      <c r="FS4" s="731">
        <v>1</v>
      </c>
      <c r="FT4" s="732" t="s">
        <v>398</v>
      </c>
      <c r="FU4" s="379">
        <f t="shared" ref="FU4:FU27" si="46">VLOOKUP(FS4,$AR$4:$BA$27,$FU$30,FALSE)</f>
        <v>11351749.184857301</v>
      </c>
      <c r="FV4" s="379">
        <f t="shared" ref="FV4:FV27" si="47">VLOOKUP(FS4,$BM$4:$BT$86,$FV$30,FALSE)</f>
        <v>6432424.7458685711</v>
      </c>
      <c r="FW4" s="379">
        <f t="shared" ref="FW4:FW27" si="48">VLOOKUP(FS4,$CJ$4:$CR$27,$FW$30,FALSE)</f>
        <v>7605841.1300943792</v>
      </c>
      <c r="FX4" s="379">
        <f t="shared" ref="FX4:FX27" si="49">VLOOKUP(FS4,$DI$4:$DQ$27,$FX$30,FALSE)</f>
        <v>2296997.3335097497</v>
      </c>
      <c r="FY4" s="379">
        <f t="shared" ref="FY4:FY27" si="50">VLOOKUP(FS4,$DX$4:$EB$27,$FY$30,FALSE)</f>
        <v>1013453.1398028216</v>
      </c>
      <c r="FZ4" s="379">
        <f t="shared" ref="FZ4:FZ27" si="51">VLOOKUP(FS4,$EO$4:$EW$28,$FZ$31,FALSE)</f>
        <v>4079244.720360158</v>
      </c>
      <c r="GA4" s="379">
        <f t="shared" ref="GA4:GA27" si="52">VLOOKUP(FS4,$FJ$4:$FM$27,$GA$30,FALSE)</f>
        <v>6446746.3395223552</v>
      </c>
      <c r="GB4" s="379">
        <f t="shared" ref="GB4:GB23" si="53">SUM(FU4:GA4)</f>
        <v>39226456.594015338</v>
      </c>
      <c r="GC4" s="852">
        <f t="shared" ref="GC4:GC27" si="54">IF($AU4=0,0,ROUND(IF(VLOOKUP(FS4,$AR$4:$AU$27,$BA$30,FALSE)&lt;&gt;0,GB4/VLOOKUP(FS4,$AR$4:$AU$27,$BA$30,FALSE)*100,""),6))</f>
        <v>3.5315720000000002</v>
      </c>
      <c r="GE4" s="152"/>
      <c r="GG4" s="730">
        <v>1</v>
      </c>
      <c r="GH4" s="731">
        <f t="shared" ref="GH4:GH27" si="55">FS4</f>
        <v>1</v>
      </c>
      <c r="GI4" s="732" t="s">
        <v>398</v>
      </c>
      <c r="GJ4" s="808">
        <f t="shared" ref="GJ4:GJ27" si="56">VLOOKUP(GH4,$AR$4:$BA$27,$GJ$30,FALSE)</f>
        <v>1.0220020000000001</v>
      </c>
      <c r="GK4" s="808">
        <f t="shared" ref="GK4:GK27" si="57">VLOOKUP(GH4,$BM$4:$BT$27,$GK$30,FALSE)</f>
        <v>0.57911400000000002</v>
      </c>
      <c r="GL4" s="808">
        <f t="shared" ref="GL4:GL27" si="58">VLOOKUP(GH4,$CJ$4:$CR$27,$GL$30,FALSE)</f>
        <v>0.68475699999999995</v>
      </c>
      <c r="GM4" s="808">
        <f t="shared" ref="GM4:GM27" si="59">VLOOKUP(GH4,$DI$4:$DS$27,$GM$30,FALSE)</f>
        <v>0.20680000000000001</v>
      </c>
      <c r="GN4" s="808">
        <f t="shared" ref="GN4:GN27" si="60">VLOOKUP(GH4,$DX$4:$EB$27,$GN$30,FALSE)</f>
        <v>9.1242000000000004E-2</v>
      </c>
      <c r="GO4" s="808">
        <f t="shared" ref="GO4:GO27" si="61">VLOOKUP(GH4,$EO$4:$EY$28,$GO$30,FALSE)</f>
        <v>0.36725600000000003</v>
      </c>
      <c r="GP4" s="808">
        <f t="shared" ref="GP4:GP27" si="62">VLOOKUP(GH4,$FJ$4:$FN$27,$GP$30,FALSE)</f>
        <v>0.580403</v>
      </c>
      <c r="GQ4" s="808">
        <f t="shared" ref="GQ4:GQ27" si="63">VLOOKUP(GH4,$FS$4:$GC$27,$GQ$30,FALSE)</f>
        <v>3.5315720000000002</v>
      </c>
      <c r="GR4" s="784">
        <f>$M4</f>
        <v>1110736372</v>
      </c>
      <c r="GS4" s="716"/>
      <c r="GT4" s="152"/>
      <c r="GV4" s="717">
        <v>1</v>
      </c>
      <c r="GW4" s="731">
        <v>1</v>
      </c>
      <c r="GX4" s="732" t="s">
        <v>398</v>
      </c>
      <c r="GY4" s="758" t="s">
        <v>397</v>
      </c>
      <c r="GZ4" s="906">
        <f>GB4</f>
        <v>39226456.594015338</v>
      </c>
      <c r="HA4" s="784">
        <f>$M4</f>
        <v>1110736372</v>
      </c>
      <c r="HB4" s="922">
        <f>ROUND(IF(HA4&lt;&gt;0,GZ4/HA4*100,0),6)</f>
        <v>3.5315720000000002</v>
      </c>
      <c r="HC4" s="942">
        <f>ROUND(HB4,10)*HA4/100</f>
        <v>39226454.707367837</v>
      </c>
      <c r="HD4" s="857">
        <v>-3.4865899011492729</v>
      </c>
      <c r="HE4" s="54"/>
      <c r="HF4" s="152"/>
      <c r="HH4" s="756">
        <v>1</v>
      </c>
      <c r="HI4" s="732" t="s">
        <v>397</v>
      </c>
      <c r="HJ4" s="861">
        <v>110332325.27195437</v>
      </c>
      <c r="HK4" s="926">
        <f>HJ4/$HJ$6</f>
        <v>0.9815824312040301</v>
      </c>
      <c r="HL4" s="927">
        <f>SUMIF($GY$4:$GY$27,$HI4,HC$4:HC$27)</f>
        <v>110957842.84513912</v>
      </c>
      <c r="HM4" s="857">
        <v>-3.0492196594498182</v>
      </c>
      <c r="HN4" s="54"/>
      <c r="HO4" s="152"/>
      <c r="HQ4" s="730">
        <v>1</v>
      </c>
      <c r="HR4" s="867">
        <v>1</v>
      </c>
      <c r="HS4" s="732" t="s">
        <v>398</v>
      </c>
      <c r="HT4" s="784">
        <f>$M4</f>
        <v>1110736372</v>
      </c>
      <c r="HU4" s="917">
        <f>HB4</f>
        <v>3.5315720000000002</v>
      </c>
      <c r="HV4" s="868"/>
      <c r="HW4" s="765"/>
      <c r="HX4" s="868">
        <v>-0.76812300000000011</v>
      </c>
      <c r="HY4" s="766">
        <v>10</v>
      </c>
      <c r="IA4" s="152"/>
      <c r="IC4" s="876">
        <v>2112495296</v>
      </c>
      <c r="ID4" s="876">
        <f>M28</f>
        <v>2202811268</v>
      </c>
      <c r="IE4" s="877">
        <f>(ID4-IC4)/IC4</f>
        <v>4.2753218040775226E-2</v>
      </c>
      <c r="IF4" s="876">
        <v>1500000</v>
      </c>
      <c r="IG4" s="878">
        <f>HU28</f>
        <v>5.1372410279904441</v>
      </c>
      <c r="IH4" s="879">
        <f>IG4*ID4/100</f>
        <v>113163724.22889253</v>
      </c>
      <c r="II4" s="880">
        <v>1.4999999999999999E-2</v>
      </c>
      <c r="IJ4" s="940">
        <v>317261869.99999994</v>
      </c>
      <c r="IK4" s="877">
        <f>IJ4/ID4</f>
        <v>0.14402589754684328</v>
      </c>
      <c r="IL4" s="877">
        <f>SUM(HT8,HT15,HT17,HT23:HT24,HT27)/HT28</f>
        <v>1.5602748496574604E-2</v>
      </c>
      <c r="IN4" s="152"/>
      <c r="IP4" s="730">
        <v>1</v>
      </c>
      <c r="IQ4" s="867">
        <v>1</v>
      </c>
      <c r="IR4" s="732" t="s">
        <v>398</v>
      </c>
      <c r="IS4" s="913">
        <f>HC4</f>
        <v>39226454.707367837</v>
      </c>
      <c r="IT4" s="915">
        <f>$M4</f>
        <v>1110736372</v>
      </c>
      <c r="IU4" s="918">
        <f>HB4</f>
        <v>3.5315720000000002</v>
      </c>
      <c r="IV4" s="904">
        <f>IT4*$IK$4/(1-$IL$4)</f>
        <v>162510412.00176263</v>
      </c>
      <c r="IW4" s="904">
        <f>IT4-IV4</f>
        <v>948225959.99823737</v>
      </c>
      <c r="IX4" s="913">
        <f>IV4*$II$4</f>
        <v>2437656.1800264395</v>
      </c>
      <c r="IY4" s="881">
        <f>IS4-IX4</f>
        <v>36788798.527341396</v>
      </c>
      <c r="IZ4" s="928">
        <f>100*IY4/IT4</f>
        <v>3.3121089265402568</v>
      </c>
      <c r="JA4" s="928">
        <f>IZ4+1.5</f>
        <v>4.8121089265402563</v>
      </c>
      <c r="JB4" s="913">
        <f>(IV4*JA4+IW4*IZ4)/100</f>
        <v>39226454.707367837</v>
      </c>
      <c r="JC4" s="852">
        <v>0.22223277175728606</v>
      </c>
      <c r="JE4" s="152"/>
      <c r="JG4" s="730">
        <v>1</v>
      </c>
      <c r="JH4" s="867">
        <v>1</v>
      </c>
      <c r="JI4" s="732" t="s">
        <v>398</v>
      </c>
      <c r="JJ4" s="784">
        <f>$M4</f>
        <v>1110736372</v>
      </c>
      <c r="JK4" s="917">
        <f>IZ4</f>
        <v>3.3121089265402568</v>
      </c>
      <c r="JL4" s="868">
        <v>4.1070000000000002</v>
      </c>
      <c r="JM4" s="765"/>
      <c r="JN4" s="868"/>
      <c r="JO4" s="766">
        <v>10</v>
      </c>
      <c r="JR4" s="152"/>
      <c r="JT4" s="936">
        <v>40.789676926540267</v>
      </c>
      <c r="JU4" s="936">
        <f t="shared" ref="JU4:JU27" si="64">JK5-JT4</f>
        <v>0</v>
      </c>
      <c r="JV4" s="13">
        <v>986723</v>
      </c>
      <c r="JW4" s="13">
        <f t="shared" ref="JW4:JW27" si="65">JJ5-JV4</f>
        <v>0</v>
      </c>
      <c r="JX4" s="935" t="s">
        <v>460</v>
      </c>
      <c r="JY4" s="912">
        <f>SUMPRODUCT(JU3:JU26,JJ4:JJ27)/100</f>
        <v>0</v>
      </c>
    </row>
    <row r="5" spans="1:294" x14ac:dyDescent="0.3">
      <c r="B5" s="338">
        <v>2</v>
      </c>
      <c r="C5" s="767" t="s">
        <v>58</v>
      </c>
      <c r="D5" s="906">
        <f>'Actuals Phase I'!LL27</f>
        <v>2039224.3304643496</v>
      </c>
      <c r="E5" s="768">
        <v>1.7895125694862252E-2</v>
      </c>
      <c r="F5" s="769">
        <v>9.2573719777447133E-2</v>
      </c>
      <c r="H5" s="225"/>
      <c r="J5" s="338">
        <v>2</v>
      </c>
      <c r="K5" s="759">
        <v>2</v>
      </c>
      <c r="L5" s="518" t="s">
        <v>403</v>
      </c>
      <c r="M5" s="904">
        <v>986723</v>
      </c>
      <c r="N5" s="943">
        <f t="shared" ref="N5:N27" si="66">M5/$M$28</f>
        <v>4.479380573061423E-4</v>
      </c>
      <c r="O5" s="455">
        <v>109.75779727095517</v>
      </c>
      <c r="P5" s="948">
        <f t="shared" ref="P5:P27" si="67">IFERROR(M5/O5,0)</f>
        <v>8990.0036674762341</v>
      </c>
      <c r="Q5" s="659">
        <f t="shared" ref="Q5:Q27" si="68">P5/$P$28</f>
        <v>5.0956755571162594E-3</v>
      </c>
      <c r="R5" s="322" t="s">
        <v>397</v>
      </c>
      <c r="T5" s="225"/>
      <c r="V5" s="734">
        <f>+V4+1</f>
        <v>2</v>
      </c>
      <c r="W5" s="735">
        <f t="shared" si="0"/>
        <v>2</v>
      </c>
      <c r="X5" s="518" t="s">
        <v>403</v>
      </c>
      <c r="Y5" s="924">
        <f t="shared" ref="Y5:Y27" si="69">SUM(FU5:FY5)</f>
        <v>305032.05549808545</v>
      </c>
      <c r="Z5" s="943">
        <f t="shared" ref="Z5:Z27" si="70">SUM(FU5:FY5)/SUM($FU$28:$FY$28)</f>
        <v>3.6457466326746801E-3</v>
      </c>
      <c r="AB5" s="225"/>
      <c r="AD5" s="734">
        <v>2</v>
      </c>
      <c r="AE5" s="146">
        <v>2</v>
      </c>
      <c r="AF5" s="347" t="s">
        <v>403</v>
      </c>
      <c r="AG5" s="369">
        <v>28.35</v>
      </c>
      <c r="AI5" s="225"/>
      <c r="AK5" s="734">
        <v>2</v>
      </c>
      <c r="AL5" s="777" t="s">
        <v>399</v>
      </c>
      <c r="AM5" s="778">
        <v>1968927.1041759744</v>
      </c>
      <c r="AN5" s="52"/>
      <c r="AO5" s="225"/>
      <c r="AP5" s="52"/>
      <c r="AQ5" s="734">
        <f t="shared" ref="AQ5:AQ27" si="71">+AQ4+1</f>
        <v>2</v>
      </c>
      <c r="AR5" s="787">
        <f t="shared" si="1"/>
        <v>2</v>
      </c>
      <c r="AS5" s="518" t="s">
        <v>403</v>
      </c>
      <c r="AT5" s="518">
        <f t="shared" si="2"/>
        <v>28.35</v>
      </c>
      <c r="AU5" s="788">
        <f t="shared" ref="AU5:AU27" si="72">$M5</f>
        <v>986723</v>
      </c>
      <c r="AV5" s="788">
        <f>AU5*AT5/3600</f>
        <v>7770.4436249999999</v>
      </c>
      <c r="AW5" s="789">
        <f t="shared" si="3"/>
        <v>8041.1883053454931</v>
      </c>
      <c r="AX5" s="790">
        <f t="shared" si="4"/>
        <v>18.326441541544678</v>
      </c>
      <c r="AY5" s="358">
        <f>AW5*AX5</f>
        <v>147366.36740246689</v>
      </c>
      <c r="AZ5" s="35">
        <f t="shared" ref="AZ5:AZ28" si="73">AY5/$AY$28</f>
        <v>4.0840457162129671E-3</v>
      </c>
      <c r="BA5" s="55">
        <f t="shared" si="5"/>
        <v>14.934927999999999</v>
      </c>
      <c r="BC5" s="225"/>
      <c r="BE5" s="338">
        <v>2</v>
      </c>
      <c r="BF5" s="565" t="s">
        <v>333</v>
      </c>
      <c r="BG5" s="697">
        <v>0.5</v>
      </c>
      <c r="BH5" s="804">
        <f>BG5*$BH$6</f>
        <v>7855598.930964387</v>
      </c>
      <c r="BJ5" s="225"/>
      <c r="BL5" s="338">
        <f>+BL4+1</f>
        <v>2</v>
      </c>
      <c r="BM5" s="322">
        <f t="shared" si="6"/>
        <v>2</v>
      </c>
      <c r="BN5" s="518" t="s">
        <v>403</v>
      </c>
      <c r="BO5" s="659">
        <f t="shared" si="7"/>
        <v>4.0840457162129671E-3</v>
      </c>
      <c r="BP5" s="358">
        <f t="shared" ref="BP5:BP27" si="74">BO5*$BP$28</f>
        <v>32082.625162292268</v>
      </c>
      <c r="BQ5" s="659">
        <f t="shared" si="8"/>
        <v>4.479380573061423E-4</v>
      </c>
      <c r="BR5" s="358">
        <f t="shared" ref="BR5:BR27" si="75">BQ5*$BR$28</f>
        <v>3518.8217241123957</v>
      </c>
      <c r="BS5" s="809">
        <f t="shared" si="9"/>
        <v>35601.446886404665</v>
      </c>
      <c r="BT5" s="810">
        <f t="shared" si="10"/>
        <v>3.6080489999999998</v>
      </c>
      <c r="BV5" s="225"/>
      <c r="BX5" s="338">
        <f>+BX4+1</f>
        <v>2</v>
      </c>
      <c r="BY5" s="518" t="s">
        <v>400</v>
      </c>
      <c r="BZ5" s="822">
        <v>0.15827477051315791</v>
      </c>
      <c r="CA5" s="823">
        <f>BZ5*$CA$9</f>
        <v>3601600.6575882137</v>
      </c>
      <c r="CB5" s="824">
        <v>1</v>
      </c>
      <c r="CC5" s="824"/>
      <c r="CD5" s="823">
        <f>CB5*$CA5</f>
        <v>3601600.6575882137</v>
      </c>
      <c r="CE5" s="823">
        <f t="shared" si="11"/>
        <v>0</v>
      </c>
      <c r="CG5" s="225"/>
      <c r="CI5" s="734">
        <f>+CI4+1</f>
        <v>2</v>
      </c>
      <c r="CJ5" s="146">
        <f t="shared" si="12"/>
        <v>2</v>
      </c>
      <c r="CK5" s="518" t="s">
        <v>403</v>
      </c>
      <c r="CL5" s="344">
        <f t="shared" si="13"/>
        <v>4.479380573061423E-4</v>
      </c>
      <c r="CM5" s="20">
        <f t="shared" si="14"/>
        <v>2398.3679197837814</v>
      </c>
      <c r="CN5" s="344">
        <f t="shared" si="15"/>
        <v>5.0956755571162594E-3</v>
      </c>
      <c r="CO5" s="20">
        <f t="shared" si="16"/>
        <v>88670.502284811533</v>
      </c>
      <c r="CP5" s="20">
        <f t="shared" si="17"/>
        <v>91068.87020459531</v>
      </c>
      <c r="CQ5" s="344">
        <f t="shared" si="18"/>
        <v>4.0020829355848298E-3</v>
      </c>
      <c r="CR5" s="342">
        <f t="shared" si="19"/>
        <v>9.2294260000000001</v>
      </c>
      <c r="CT5" s="225"/>
      <c r="CV5" s="338">
        <v>2</v>
      </c>
      <c r="CW5" s="104" t="s">
        <v>50</v>
      </c>
      <c r="CX5" s="344">
        <v>1</v>
      </c>
      <c r="CY5" s="344">
        <v>0</v>
      </c>
      <c r="CZ5" s="833">
        <v>0</v>
      </c>
      <c r="DA5" s="906">
        <f>DD5</f>
        <v>315749.99843852833</v>
      </c>
      <c r="DB5" s="906">
        <v>0</v>
      </c>
      <c r="DC5" s="906">
        <v>0</v>
      </c>
      <c r="DD5" s="906">
        <f t="shared" ref="DD5:DD6" si="76">$DD$7*DD12</f>
        <v>315749.99843852833</v>
      </c>
      <c r="DF5" s="225"/>
      <c r="DH5" s="734">
        <v>2</v>
      </c>
      <c r="DI5" s="745">
        <f t="shared" si="20"/>
        <v>2</v>
      </c>
      <c r="DJ5" s="518" t="s">
        <v>403</v>
      </c>
      <c r="DK5" s="344">
        <f t="shared" si="21"/>
        <v>4.0020829355848298E-3</v>
      </c>
      <c r="DL5" s="20">
        <f t="shared" ref="DL5:DL27" si="77">DK5*$DL$28</f>
        <v>1263.6576806617709</v>
      </c>
      <c r="DM5" s="344">
        <f t="shared" si="22"/>
        <v>5.0956755571162594E-3</v>
      </c>
      <c r="DN5" s="20">
        <f t="shared" si="23"/>
        <v>9957.4676762669624</v>
      </c>
      <c r="DO5" s="344">
        <f t="shared" si="24"/>
        <v>4.479380573061423E-4</v>
      </c>
      <c r="DP5" s="20">
        <f t="shared" si="25"/>
        <v>1457.3601000127367</v>
      </c>
      <c r="DQ5" s="20">
        <f t="shared" ref="DQ5:DQ27" si="78">DL5+DN5+DP5</f>
        <v>12678.485456941469</v>
      </c>
      <c r="DR5" s="344">
        <f t="shared" si="26"/>
        <v>2.2954392651351467E-3</v>
      </c>
      <c r="DS5" s="342">
        <f t="shared" si="27"/>
        <v>1.2849079999999999</v>
      </c>
      <c r="DU5" s="225"/>
      <c r="DW5" s="734">
        <f>+DW4+1</f>
        <v>2</v>
      </c>
      <c r="DX5" s="745">
        <f t="shared" si="28"/>
        <v>2</v>
      </c>
      <c r="DY5" s="518" t="s">
        <v>403</v>
      </c>
      <c r="DZ5" s="344">
        <f t="shared" si="29"/>
        <v>5.0956755571162594E-3</v>
      </c>
      <c r="EA5" s="20">
        <f t="shared" si="30"/>
        <v>18316.885547677142</v>
      </c>
      <c r="EB5" s="342">
        <f t="shared" si="31"/>
        <v>1.8563350000000001</v>
      </c>
      <c r="ED5" s="225"/>
      <c r="EF5" s="338">
        <v>2</v>
      </c>
      <c r="EG5" s="518" t="s">
        <v>50</v>
      </c>
      <c r="EH5" s="20">
        <v>871415.31349090894</v>
      </c>
      <c r="EI5" s="768">
        <f>EH5/$EH$7</f>
        <v>9.0122229034200738E-2</v>
      </c>
      <c r="EJ5" s="20">
        <f>EI5*$EJ$7</f>
        <v>964503.42711626808</v>
      </c>
      <c r="EL5" s="225"/>
      <c r="EN5" s="734">
        <f>+EN4+1</f>
        <v>2</v>
      </c>
      <c r="EO5" s="745">
        <f t="shared" si="32"/>
        <v>2</v>
      </c>
      <c r="EP5" s="518" t="s">
        <v>403</v>
      </c>
      <c r="EQ5" s="344">
        <f t="shared" si="33"/>
        <v>3.6457466326746801E-3</v>
      </c>
      <c r="ER5" s="20">
        <f t="shared" si="34"/>
        <v>26080.231486469846</v>
      </c>
      <c r="ES5" s="344">
        <f t="shared" si="35"/>
        <v>4.0020829355848298E-3</v>
      </c>
      <c r="ET5" s="20">
        <f t="shared" si="36"/>
        <v>3860.0227069751031</v>
      </c>
      <c r="EU5" s="344">
        <f t="shared" si="37"/>
        <v>4.479380573061423E-4</v>
      </c>
      <c r="EV5" s="20">
        <f t="shared" si="38"/>
        <v>1157.4995586836667</v>
      </c>
      <c r="EW5" s="20">
        <f t="shared" si="39"/>
        <v>31097.753752128614</v>
      </c>
      <c r="EX5" s="344">
        <f t="shared" si="40"/>
        <v>2.9057427970763084E-3</v>
      </c>
      <c r="EY5" s="342">
        <f t="shared" si="41"/>
        <v>3.1516190000000002</v>
      </c>
      <c r="FA5" s="225"/>
      <c r="FC5" s="456">
        <v>2</v>
      </c>
      <c r="FD5" s="851" t="s">
        <v>401</v>
      </c>
      <c r="FE5" s="458">
        <f>D12</f>
        <v>-204693.58767693696</v>
      </c>
      <c r="FG5" s="225"/>
      <c r="FI5" s="734">
        <f>+FI4+1</f>
        <v>2</v>
      </c>
      <c r="FJ5" s="735">
        <f t="shared" si="42"/>
        <v>2</v>
      </c>
      <c r="FK5" s="518" t="s">
        <v>403</v>
      </c>
      <c r="FL5" s="344">
        <f t="shared" si="43"/>
        <v>3.6457466326746801E-3</v>
      </c>
      <c r="FM5" s="20">
        <f t="shared" si="44"/>
        <v>68516.808024615151</v>
      </c>
      <c r="FN5" s="342">
        <f t="shared" si="45"/>
        <v>6.9438750000000002</v>
      </c>
      <c r="FP5" s="225"/>
      <c r="FR5" s="734">
        <f>+FR4+1</f>
        <v>2</v>
      </c>
      <c r="FS5" s="735">
        <v>2</v>
      </c>
      <c r="FT5" s="518" t="s">
        <v>403</v>
      </c>
      <c r="FU5" s="20">
        <f t="shared" si="46"/>
        <v>147366.36740246689</v>
      </c>
      <c r="FV5" s="20">
        <f t="shared" si="47"/>
        <v>35601.446886404665</v>
      </c>
      <c r="FW5" s="20">
        <f t="shared" si="48"/>
        <v>91068.87020459531</v>
      </c>
      <c r="FX5" s="20">
        <f t="shared" si="49"/>
        <v>12678.485456941469</v>
      </c>
      <c r="FY5" s="20">
        <f t="shared" si="50"/>
        <v>18316.885547677142</v>
      </c>
      <c r="FZ5" s="20">
        <f t="shared" si="51"/>
        <v>31097.753752128614</v>
      </c>
      <c r="GA5" s="20">
        <f t="shared" si="52"/>
        <v>68516.808024615151</v>
      </c>
      <c r="GB5" s="20">
        <f t="shared" si="53"/>
        <v>404646.61727482924</v>
      </c>
      <c r="GC5" s="414">
        <f t="shared" si="54"/>
        <v>41.009140000000002</v>
      </c>
      <c r="GE5" s="225"/>
      <c r="GG5" s="734">
        <f t="shared" ref="GG5:GG27" si="79">+GG4+1</f>
        <v>2</v>
      </c>
      <c r="GH5" s="735">
        <f t="shared" si="55"/>
        <v>2</v>
      </c>
      <c r="GI5" s="518" t="s">
        <v>403</v>
      </c>
      <c r="GJ5" s="342">
        <f t="shared" si="56"/>
        <v>14.934927999999999</v>
      </c>
      <c r="GK5" s="342">
        <f t="shared" si="57"/>
        <v>3.6080489999999998</v>
      </c>
      <c r="GL5" s="342">
        <f t="shared" si="58"/>
        <v>9.2294260000000001</v>
      </c>
      <c r="GM5" s="342">
        <f t="shared" si="59"/>
        <v>1.2849079999999999</v>
      </c>
      <c r="GN5" s="342">
        <f t="shared" si="60"/>
        <v>1.8563350000000001</v>
      </c>
      <c r="GO5" s="342">
        <f t="shared" si="61"/>
        <v>3.1516190000000002</v>
      </c>
      <c r="GP5" s="342">
        <f t="shared" si="62"/>
        <v>6.9438750000000002</v>
      </c>
      <c r="GQ5" s="342">
        <f t="shared" si="63"/>
        <v>41.009140000000002</v>
      </c>
      <c r="GR5" s="788">
        <f t="shared" ref="GR5:GR27" si="80">$M5</f>
        <v>986723</v>
      </c>
      <c r="GS5" s="716"/>
      <c r="GT5" s="225"/>
      <c r="GV5" s="718">
        <f t="shared" ref="GV5:GV27" si="81">+GV4+1</f>
        <v>2</v>
      </c>
      <c r="GW5" s="735">
        <v>2</v>
      </c>
      <c r="GX5" s="518" t="s">
        <v>403</v>
      </c>
      <c r="GY5" s="322" t="s">
        <v>397</v>
      </c>
      <c r="GZ5" s="924">
        <f t="shared" ref="GZ5:GZ27" si="82">GB5</f>
        <v>404646.61727482924</v>
      </c>
      <c r="HA5" s="788">
        <f t="shared" ref="HA5:HA27" si="83">$M5</f>
        <v>986723</v>
      </c>
      <c r="HB5" s="922">
        <f t="shared" ref="HB5:HB7" si="84">ROUND(IF(HA5&lt;&gt;0,GZ5/HA5*100,0),6)</f>
        <v>41.009140000000002</v>
      </c>
      <c r="HC5" s="942">
        <f t="shared" ref="HC5:HC27" si="85">ROUND(HB5,10)*HA5/100</f>
        <v>404646.61648220004</v>
      </c>
      <c r="HD5" s="858">
        <v>-2.1704175742343068E-3</v>
      </c>
      <c r="HE5" s="54"/>
      <c r="HF5" s="225"/>
      <c r="HH5" s="456">
        <v>2</v>
      </c>
      <c r="HI5" s="565" t="s">
        <v>402</v>
      </c>
      <c r="HJ5" s="862">
        <v>2070180.8900786787</v>
      </c>
      <c r="HK5" s="926">
        <f>HJ5/$HJ$6</f>
        <v>1.8417568795969938E-2</v>
      </c>
      <c r="HL5" s="927">
        <f>SUMIF($GY$4:$GY$27,$HI5,HC$4:HC$27)</f>
        <v>2205881.3837534403</v>
      </c>
      <c r="HM5" s="859">
        <v>0.13414628756436286</v>
      </c>
      <c r="HN5" s="54"/>
      <c r="HO5" s="225"/>
      <c r="HQ5" s="734">
        <v>2</v>
      </c>
      <c r="HR5" s="869">
        <v>2</v>
      </c>
      <c r="HS5" s="518" t="s">
        <v>403</v>
      </c>
      <c r="HT5" s="788">
        <f t="shared" ref="HT5:HT27" si="86">$M5</f>
        <v>986723</v>
      </c>
      <c r="HU5" s="917">
        <f t="shared" ref="HU5:HU27" si="87">HB5</f>
        <v>41.009140000000002</v>
      </c>
      <c r="HV5" s="870"/>
      <c r="HW5" s="768"/>
      <c r="HX5" s="870">
        <v>-8.3115710000000007</v>
      </c>
      <c r="HY5" s="769">
        <v>25</v>
      </c>
      <c r="IA5" s="225"/>
      <c r="IN5" s="225"/>
      <c r="IP5" s="734">
        <v>2</v>
      </c>
      <c r="IQ5" s="869">
        <v>2</v>
      </c>
      <c r="IR5" s="518" t="s">
        <v>403</v>
      </c>
      <c r="IS5" s="913">
        <f>HC5</f>
        <v>404646.61648220004</v>
      </c>
      <c r="IT5" s="915">
        <f t="shared" ref="IT5:IT27" si="88">$M5</f>
        <v>986723</v>
      </c>
      <c r="IU5" s="919">
        <f t="shared" ref="IU5:IU28" si="89">HB5</f>
        <v>41.009140000000002</v>
      </c>
      <c r="IV5" s="904">
        <f t="shared" ref="IV5:IV7" si="90">IT5*$IK$4/(1-$IL$4)</f>
        <v>144366.17482227838</v>
      </c>
      <c r="IW5" s="904">
        <f t="shared" ref="IW5:IW27" si="91">IT5-IV5</f>
        <v>842356.82517772168</v>
      </c>
      <c r="IX5" s="913">
        <f t="shared" ref="IX5:IX7" si="92">IV5*$II$4</f>
        <v>2165.4926223341754</v>
      </c>
      <c r="IY5" s="882">
        <f t="shared" ref="IY5:IY27" si="93">IS5-IX5</f>
        <v>402481.12385986588</v>
      </c>
      <c r="IZ5" s="928">
        <f t="shared" ref="IZ5:IZ7" si="94">100*IY5/IT5</f>
        <v>40.789676926540267</v>
      </c>
      <c r="JA5" s="928">
        <f t="shared" ref="JA5:JA7" si="95">IZ5+1.5</f>
        <v>42.289676926540267</v>
      </c>
      <c r="JB5" s="913">
        <f>(IV5*JA5+IW5*IZ5)/100</f>
        <v>404646.6164822001</v>
      </c>
      <c r="JC5" s="883">
        <v>0.22223287213186182</v>
      </c>
      <c r="JE5" s="225"/>
      <c r="JG5" s="734">
        <v>2</v>
      </c>
      <c r="JH5" s="869">
        <v>2</v>
      </c>
      <c r="JI5" s="518" t="s">
        <v>403</v>
      </c>
      <c r="JJ5" s="788">
        <f t="shared" ref="JJ5:JJ27" si="96">$M5</f>
        <v>986723</v>
      </c>
      <c r="JK5" s="917">
        <f t="shared" ref="JK5:JK28" si="97">IZ5</f>
        <v>40.789676926540267</v>
      </c>
      <c r="JL5" s="870">
        <v>49.463999999999999</v>
      </c>
      <c r="JM5" s="768"/>
      <c r="JN5" s="870"/>
      <c r="JO5" s="769">
        <v>25</v>
      </c>
      <c r="JR5" s="225"/>
      <c r="JT5" s="936">
        <v>8.3490219265402583</v>
      </c>
      <c r="JU5" s="936">
        <f t="shared" si="64"/>
        <v>0</v>
      </c>
      <c r="JV5" s="13">
        <v>2563713</v>
      </c>
      <c r="JW5" s="13">
        <f t="shared" si="65"/>
        <v>0</v>
      </c>
      <c r="JX5" s="935" t="s">
        <v>461</v>
      </c>
      <c r="JY5" s="912">
        <f>SUM(JY3:JY4)</f>
        <v>0</v>
      </c>
    </row>
    <row r="6" spans="1:294" ht="17.25" thickBot="1" x14ac:dyDescent="0.35">
      <c r="B6" s="756">
        <v>3</v>
      </c>
      <c r="C6" s="764" t="s">
        <v>49</v>
      </c>
      <c r="D6" s="906">
        <f>'Actuals Phase I'!LN27</f>
        <v>15711197.861928774</v>
      </c>
      <c r="E6" s="765">
        <v>0.13977622384398092</v>
      </c>
      <c r="F6" s="766">
        <v>0.72307985975183253</v>
      </c>
      <c r="J6" s="756">
        <v>3</v>
      </c>
      <c r="K6" s="757">
        <v>3</v>
      </c>
      <c r="L6" s="732" t="s">
        <v>407</v>
      </c>
      <c r="M6" s="904">
        <v>2563713</v>
      </c>
      <c r="N6" s="944">
        <f t="shared" si="66"/>
        <v>1.163836883006175E-3</v>
      </c>
      <c r="O6" s="753">
        <v>812.53603294440632</v>
      </c>
      <c r="P6" s="948">
        <f t="shared" si="67"/>
        <v>3155.1991493962573</v>
      </c>
      <c r="Q6" s="733">
        <f t="shared" si="68"/>
        <v>1.7884165321954829E-3</v>
      </c>
      <c r="R6" s="758" t="s">
        <v>397</v>
      </c>
      <c r="V6" s="730">
        <f t="shared" ref="V6:V27" si="98">+V5+1</f>
        <v>3</v>
      </c>
      <c r="W6" s="731">
        <f t="shared" si="0"/>
        <v>3</v>
      </c>
      <c r="X6" s="732" t="s">
        <v>407</v>
      </c>
      <c r="Y6" s="924">
        <f t="shared" si="69"/>
        <v>164168.53410066312</v>
      </c>
      <c r="Z6" s="944">
        <f t="shared" si="70"/>
        <v>1.9621442061599575E-3</v>
      </c>
      <c r="AD6" s="730">
        <v>3</v>
      </c>
      <c r="AE6" s="746">
        <v>3</v>
      </c>
      <c r="AF6" s="747" t="s">
        <v>407</v>
      </c>
      <c r="AG6" s="748">
        <v>6.29</v>
      </c>
      <c r="AK6" s="730">
        <v>3</v>
      </c>
      <c r="AL6" s="779" t="s">
        <v>404</v>
      </c>
      <c r="AM6" s="780">
        <f>AM4/AM5</f>
        <v>18.326441541544678</v>
      </c>
      <c r="AN6" s="57"/>
      <c r="AP6" s="57"/>
      <c r="AQ6" s="730">
        <f t="shared" si="71"/>
        <v>3</v>
      </c>
      <c r="AR6" s="783">
        <f t="shared" si="1"/>
        <v>3</v>
      </c>
      <c r="AS6" s="732" t="s">
        <v>407</v>
      </c>
      <c r="AT6" s="732">
        <f t="shared" si="2"/>
        <v>6.29</v>
      </c>
      <c r="AU6" s="784">
        <f t="shared" si="72"/>
        <v>2563713</v>
      </c>
      <c r="AV6" s="784">
        <f t="shared" ref="AV6:AV27" si="99">AU6*AT6/3600</f>
        <v>4479.3763250000002</v>
      </c>
      <c r="AW6" s="785">
        <f t="shared" si="3"/>
        <v>4635.4507230378977</v>
      </c>
      <c r="AX6" s="786">
        <f t="shared" si="4"/>
        <v>18.326441541544678</v>
      </c>
      <c r="AY6" s="379">
        <f>AW6*AX6</f>
        <v>84951.316694465044</v>
      </c>
      <c r="AZ6" s="51">
        <f t="shared" si="73"/>
        <v>2.3543028653556491E-3</v>
      </c>
      <c r="BA6" s="53">
        <f t="shared" si="5"/>
        <v>3.3136049999999999</v>
      </c>
      <c r="BE6" s="805">
        <v>3</v>
      </c>
      <c r="BF6" s="806" t="s">
        <v>72</v>
      </c>
      <c r="BG6" s="742">
        <f>SUM(BG4:BG5)</f>
        <v>1</v>
      </c>
      <c r="BH6" s="741">
        <f>D6</f>
        <v>15711197.861928774</v>
      </c>
      <c r="BL6" s="756">
        <f t="shared" ref="BL6:BL27" si="100">+BL5+1</f>
        <v>3</v>
      </c>
      <c r="BM6" s="758">
        <f t="shared" si="6"/>
        <v>3</v>
      </c>
      <c r="BN6" s="732" t="s">
        <v>407</v>
      </c>
      <c r="BO6" s="733">
        <f t="shared" si="7"/>
        <v>2.3543028653556491E-3</v>
      </c>
      <c r="BP6" s="379">
        <f t="shared" si="74"/>
        <v>18494.459072254231</v>
      </c>
      <c r="BQ6" s="733">
        <f t="shared" si="8"/>
        <v>1.163836883006175E-3</v>
      </c>
      <c r="BR6" s="379">
        <f t="shared" si="75"/>
        <v>9142.6357739602336</v>
      </c>
      <c r="BS6" s="807">
        <f t="shared" si="9"/>
        <v>27637.094846214466</v>
      </c>
      <c r="BT6" s="808">
        <f t="shared" si="10"/>
        <v>1.0780099999999999</v>
      </c>
      <c r="BX6" s="756">
        <f>+BX5+1</f>
        <v>3</v>
      </c>
      <c r="BY6" s="732" t="s">
        <v>405</v>
      </c>
      <c r="BZ6" s="765">
        <v>0.11835749256056489</v>
      </c>
      <c r="CA6" s="821">
        <f>BZ6*$CA$9</f>
        <v>2693268.3058364303</v>
      </c>
      <c r="CB6" s="766"/>
      <c r="CC6" s="766">
        <v>1</v>
      </c>
      <c r="CD6" s="821">
        <f t="shared" si="11"/>
        <v>0</v>
      </c>
      <c r="CE6" s="821">
        <f t="shared" si="11"/>
        <v>2693268.3058364303</v>
      </c>
      <c r="CI6" s="730">
        <f t="shared" ref="CI6:CI27" si="101">+CI5+1</f>
        <v>3</v>
      </c>
      <c r="CJ6" s="746">
        <f t="shared" si="12"/>
        <v>3</v>
      </c>
      <c r="CK6" s="732" t="s">
        <v>407</v>
      </c>
      <c r="CL6" s="733">
        <f t="shared" si="13"/>
        <v>1.163836883006175E-3</v>
      </c>
      <c r="CM6" s="379">
        <f t="shared" si="14"/>
        <v>6231.4621375326587</v>
      </c>
      <c r="CN6" s="733">
        <f t="shared" si="15"/>
        <v>1.7884165321954829E-3</v>
      </c>
      <c r="CO6" s="379">
        <f t="shared" si="16"/>
        <v>31120.464877865503</v>
      </c>
      <c r="CP6" s="379">
        <f t="shared" si="17"/>
        <v>37351.927015398163</v>
      </c>
      <c r="CQ6" s="733">
        <f t="shared" si="18"/>
        <v>1.6414556300490041E-3</v>
      </c>
      <c r="CR6" s="808">
        <f t="shared" si="19"/>
        <v>1.456947</v>
      </c>
      <c r="CV6" s="842">
        <v>3</v>
      </c>
      <c r="CW6" s="834" t="s">
        <v>395</v>
      </c>
      <c r="CX6" s="835">
        <v>0</v>
      </c>
      <c r="CY6" s="835">
        <v>0</v>
      </c>
      <c r="CZ6" s="836">
        <v>1</v>
      </c>
      <c r="DA6" s="910">
        <v>0</v>
      </c>
      <c r="DB6" s="910">
        <v>0</v>
      </c>
      <c r="DC6" s="910">
        <f>DD6</f>
        <v>1299384.196833404</v>
      </c>
      <c r="DD6" s="910">
        <f t="shared" si="76"/>
        <v>1299384.196833404</v>
      </c>
      <c r="DH6" s="730">
        <v>3</v>
      </c>
      <c r="DI6" s="840">
        <f t="shared" si="20"/>
        <v>3</v>
      </c>
      <c r="DJ6" s="732" t="s">
        <v>407</v>
      </c>
      <c r="DK6" s="733">
        <f t="shared" si="21"/>
        <v>1.6414556300490041E-3</v>
      </c>
      <c r="DL6" s="379">
        <f t="shared" si="77"/>
        <v>518.28961262488656</v>
      </c>
      <c r="DM6" s="733">
        <f t="shared" si="22"/>
        <v>1.7884165321954829E-3</v>
      </c>
      <c r="DN6" s="379">
        <f t="shared" si="23"/>
        <v>3494.7475779081819</v>
      </c>
      <c r="DO6" s="733">
        <f t="shared" si="24"/>
        <v>1.163836883006175E-3</v>
      </c>
      <c r="DP6" s="379">
        <f t="shared" si="25"/>
        <v>3786.5267497402547</v>
      </c>
      <c r="DQ6" s="379">
        <f t="shared" si="78"/>
        <v>7799.5639402733232</v>
      </c>
      <c r="DR6" s="733">
        <f t="shared" si="26"/>
        <v>1.4121107272819769E-3</v>
      </c>
      <c r="DS6" s="808">
        <f t="shared" si="27"/>
        <v>0.30422900000000003</v>
      </c>
      <c r="DW6" s="730">
        <f t="shared" ref="DW6:DW27" si="102">+DW5+1</f>
        <v>3</v>
      </c>
      <c r="DX6" s="840">
        <f t="shared" si="28"/>
        <v>3</v>
      </c>
      <c r="DY6" s="732" t="s">
        <v>407</v>
      </c>
      <c r="DZ6" s="733">
        <f t="shared" si="29"/>
        <v>1.7884165321954829E-3</v>
      </c>
      <c r="EA6" s="379">
        <f t="shared" si="30"/>
        <v>6428.6316043121114</v>
      </c>
      <c r="EB6" s="808">
        <f t="shared" si="31"/>
        <v>0.25075500000000001</v>
      </c>
      <c r="EF6" s="842">
        <v>3</v>
      </c>
      <c r="EG6" s="825" t="s">
        <v>173</v>
      </c>
      <c r="EH6" s="837">
        <v>2334663.450411818</v>
      </c>
      <c r="EI6" s="826">
        <f>EH6/$EH$7</f>
        <v>0.24145211925746848</v>
      </c>
      <c r="EJ6" s="837">
        <f>EI6*$EJ$7</f>
        <v>2584061.6571959998</v>
      </c>
      <c r="EN6" s="730">
        <f t="shared" ref="EN6:EN27" si="103">+EN5+1</f>
        <v>3</v>
      </c>
      <c r="EO6" s="840">
        <f t="shared" si="32"/>
        <v>3</v>
      </c>
      <c r="EP6" s="732" t="s">
        <v>407</v>
      </c>
      <c r="EQ6" s="733">
        <f t="shared" si="33"/>
        <v>1.9621442061599575E-3</v>
      </c>
      <c r="ER6" s="379">
        <f t="shared" si="34"/>
        <v>14036.404682610764</v>
      </c>
      <c r="ES6" s="733">
        <f t="shared" si="35"/>
        <v>1.6414556300490041E-3</v>
      </c>
      <c r="ET6" s="379">
        <f t="shared" si="36"/>
        <v>1583.1895806415575</v>
      </c>
      <c r="EU6" s="733">
        <f t="shared" si="37"/>
        <v>1.163836883006175E-3</v>
      </c>
      <c r="EV6" s="379">
        <f t="shared" si="38"/>
        <v>3007.4262646067637</v>
      </c>
      <c r="EW6" s="379">
        <f t="shared" si="39"/>
        <v>18627.020527859087</v>
      </c>
      <c r="EX6" s="733">
        <f t="shared" si="40"/>
        <v>1.7404900418607969E-3</v>
      </c>
      <c r="EY6" s="808">
        <f t="shared" si="41"/>
        <v>0.72656399999999999</v>
      </c>
      <c r="FC6" s="813">
        <v>3</v>
      </c>
      <c r="FD6" s="59" t="s">
        <v>406</v>
      </c>
      <c r="FE6" s="60">
        <f>SUM(FE4:FE5)</f>
        <v>18793628.556230251</v>
      </c>
      <c r="FI6" s="730">
        <f t="shared" ref="FI6:FI27" si="104">+FI5+1</f>
        <v>3</v>
      </c>
      <c r="FJ6" s="731">
        <f t="shared" si="42"/>
        <v>3</v>
      </c>
      <c r="FK6" s="732" t="s">
        <v>407</v>
      </c>
      <c r="FL6" s="733">
        <f t="shared" si="43"/>
        <v>1.9621442061599575E-3</v>
      </c>
      <c r="FM6" s="379">
        <f t="shared" si="44"/>
        <v>36875.809384329514</v>
      </c>
      <c r="FN6" s="808">
        <f t="shared" si="45"/>
        <v>1.438375</v>
      </c>
      <c r="FR6" s="730">
        <f t="shared" ref="FR6:FR27" si="105">+FR5+1</f>
        <v>3</v>
      </c>
      <c r="FS6" s="731">
        <v>3</v>
      </c>
      <c r="FT6" s="732" t="s">
        <v>407</v>
      </c>
      <c r="FU6" s="379">
        <f t="shared" si="46"/>
        <v>84951.316694465044</v>
      </c>
      <c r="FV6" s="379">
        <f t="shared" si="47"/>
        <v>27637.094846214466</v>
      </c>
      <c r="FW6" s="379">
        <f t="shared" si="48"/>
        <v>37351.927015398163</v>
      </c>
      <c r="FX6" s="379">
        <f t="shared" si="49"/>
        <v>7799.5639402733232</v>
      </c>
      <c r="FY6" s="379">
        <f t="shared" si="50"/>
        <v>6428.6316043121114</v>
      </c>
      <c r="FZ6" s="379">
        <f t="shared" si="51"/>
        <v>18627.020527859087</v>
      </c>
      <c r="GA6" s="379">
        <f t="shared" si="52"/>
        <v>36875.809384329514</v>
      </c>
      <c r="GB6" s="379">
        <f t="shared" si="53"/>
        <v>219671.3640128517</v>
      </c>
      <c r="GC6" s="852">
        <f t="shared" si="54"/>
        <v>8.5684850000000008</v>
      </c>
      <c r="GG6" s="730">
        <f t="shared" si="79"/>
        <v>3</v>
      </c>
      <c r="GH6" s="731">
        <f t="shared" si="55"/>
        <v>3</v>
      </c>
      <c r="GI6" s="732" t="s">
        <v>407</v>
      </c>
      <c r="GJ6" s="808">
        <f t="shared" si="56"/>
        <v>3.3136049999999999</v>
      </c>
      <c r="GK6" s="808">
        <f t="shared" si="57"/>
        <v>1.0780099999999999</v>
      </c>
      <c r="GL6" s="808">
        <f t="shared" si="58"/>
        <v>1.456947</v>
      </c>
      <c r="GM6" s="808">
        <f t="shared" si="59"/>
        <v>0.30422900000000003</v>
      </c>
      <c r="GN6" s="808">
        <f t="shared" si="60"/>
        <v>0.25075500000000001</v>
      </c>
      <c r="GO6" s="808">
        <f t="shared" si="61"/>
        <v>0.72656399999999999</v>
      </c>
      <c r="GP6" s="808">
        <f t="shared" si="62"/>
        <v>1.438375</v>
      </c>
      <c r="GQ6" s="808">
        <f t="shared" si="63"/>
        <v>8.5684850000000008</v>
      </c>
      <c r="GR6" s="784">
        <f t="shared" si="80"/>
        <v>2563713</v>
      </c>
      <c r="GS6" s="716"/>
      <c r="GV6" s="717">
        <f t="shared" si="81"/>
        <v>3</v>
      </c>
      <c r="GW6" s="731">
        <v>3</v>
      </c>
      <c r="GX6" s="732" t="s">
        <v>407</v>
      </c>
      <c r="GY6" s="758" t="s">
        <v>397</v>
      </c>
      <c r="GZ6" s="906">
        <f t="shared" si="82"/>
        <v>219671.3640128517</v>
      </c>
      <c r="HA6" s="784">
        <f t="shared" si="83"/>
        <v>2563713</v>
      </c>
      <c r="HB6" s="922">
        <f t="shared" si="84"/>
        <v>8.5684850000000008</v>
      </c>
      <c r="HC6" s="942">
        <f t="shared" si="85"/>
        <v>219671.36384805001</v>
      </c>
      <c r="HD6" s="857">
        <v>5.2642390364781022E-3</v>
      </c>
      <c r="HE6" s="61"/>
      <c r="HH6" s="813">
        <v>3</v>
      </c>
      <c r="HI6" s="762" t="s">
        <v>89</v>
      </c>
      <c r="HJ6" s="863">
        <v>112402506.16203305</v>
      </c>
      <c r="HK6" s="864">
        <v>1</v>
      </c>
      <c r="HL6" s="863">
        <f>SUM(HL4:HL5)</f>
        <v>113163724.22889255</v>
      </c>
      <c r="HM6" s="865">
        <v>-2.9150733718854553</v>
      </c>
      <c r="HN6" s="61"/>
      <c r="HQ6" s="730">
        <v>3</v>
      </c>
      <c r="HR6" s="867">
        <v>3</v>
      </c>
      <c r="HS6" s="732" t="s">
        <v>407</v>
      </c>
      <c r="HT6" s="784">
        <f t="shared" si="86"/>
        <v>2563713</v>
      </c>
      <c r="HU6" s="917">
        <f t="shared" si="87"/>
        <v>8.5684850000000008</v>
      </c>
      <c r="HV6" s="868"/>
      <c r="HW6" s="765"/>
      <c r="HX6" s="868">
        <v>-2.0161709999999999</v>
      </c>
      <c r="HY6" s="766">
        <v>10</v>
      </c>
      <c r="IP6" s="730">
        <v>3</v>
      </c>
      <c r="IQ6" s="867">
        <v>3</v>
      </c>
      <c r="IR6" s="732" t="s">
        <v>407</v>
      </c>
      <c r="IS6" s="913">
        <f t="shared" ref="IS6:IS27" si="106">HC6</f>
        <v>219671.36384805001</v>
      </c>
      <c r="IT6" s="915">
        <f t="shared" si="88"/>
        <v>2563713</v>
      </c>
      <c r="IU6" s="918">
        <f t="shared" si="89"/>
        <v>8.5684850000000008</v>
      </c>
      <c r="IV6" s="904">
        <f>IT6*$IK$4/(1-$IL$4)</f>
        <v>375093.55629913131</v>
      </c>
      <c r="IW6" s="904">
        <f>IT6-IV6</f>
        <v>2188619.4437008686</v>
      </c>
      <c r="IX6" s="913">
        <f t="shared" si="92"/>
        <v>5626.4033444869692</v>
      </c>
      <c r="IY6" s="881">
        <f t="shared" si="93"/>
        <v>214044.96050356305</v>
      </c>
      <c r="IZ6" s="928">
        <f t="shared" si="94"/>
        <v>8.3490219265402583</v>
      </c>
      <c r="JA6" s="928">
        <f t="shared" si="95"/>
        <v>9.8490219265402583</v>
      </c>
      <c r="JB6" s="913">
        <f t="shared" ref="JB6:JB27" si="107">(IV6*JA6+IW6*IZ6)/100</f>
        <v>219671.36384805001</v>
      </c>
      <c r="JC6" s="852">
        <v>0.22223334610416501</v>
      </c>
      <c r="JG6" s="730">
        <v>3</v>
      </c>
      <c r="JH6" s="867">
        <v>3</v>
      </c>
      <c r="JI6" s="732" t="s">
        <v>407</v>
      </c>
      <c r="JJ6" s="784">
        <f t="shared" si="96"/>
        <v>2563713</v>
      </c>
      <c r="JK6" s="917">
        <f t="shared" si="97"/>
        <v>8.3490219265402583</v>
      </c>
      <c r="JL6" s="868">
        <v>10.432</v>
      </c>
      <c r="JM6" s="765"/>
      <c r="JN6" s="868"/>
      <c r="JO6" s="766">
        <v>10</v>
      </c>
      <c r="JT6" s="936">
        <v>18.573936926540256</v>
      </c>
      <c r="JU6" s="936">
        <f t="shared" si="64"/>
        <v>0</v>
      </c>
      <c r="JV6" s="13">
        <v>369439</v>
      </c>
      <c r="JW6" s="13">
        <f t="shared" si="65"/>
        <v>0</v>
      </c>
    </row>
    <row r="7" spans="1:294" ht="17.25" thickBot="1" x14ac:dyDescent="0.35">
      <c r="B7" s="338">
        <v>4</v>
      </c>
      <c r="C7" s="770" t="s">
        <v>50</v>
      </c>
      <c r="D7" s="906">
        <f>'Actuals Phase I'!LP27</f>
        <v>22755368.059679482</v>
      </c>
      <c r="E7" s="768">
        <v>0.20244537988215888</v>
      </c>
      <c r="F7" s="769">
        <v>1.047275229412356</v>
      </c>
      <c r="J7" s="338">
        <v>4</v>
      </c>
      <c r="K7" s="759">
        <v>4</v>
      </c>
      <c r="L7" s="518" t="s">
        <v>410</v>
      </c>
      <c r="M7" s="904">
        <v>369439</v>
      </c>
      <c r="N7" s="943">
        <f t="shared" si="66"/>
        <v>1.6771250690733255E-4</v>
      </c>
      <c r="O7" s="455">
        <v>176.53560975609756</v>
      </c>
      <c r="P7" s="948">
        <f t="shared" si="67"/>
        <v>2092.7165941784701</v>
      </c>
      <c r="Q7" s="659">
        <f t="shared" si="68"/>
        <v>1.1861846992906142E-3</v>
      </c>
      <c r="R7" s="322" t="s">
        <v>397</v>
      </c>
      <c r="V7" s="734">
        <f t="shared" si="98"/>
        <v>4</v>
      </c>
      <c r="W7" s="735">
        <f t="shared" si="0"/>
        <v>4</v>
      </c>
      <c r="X7" s="518" t="s">
        <v>410</v>
      </c>
      <c r="Y7" s="924">
        <f t="shared" si="69"/>
        <v>51967.562052925467</v>
      </c>
      <c r="Z7" s="943">
        <f t="shared" si="70"/>
        <v>6.2111689885640457E-4</v>
      </c>
      <c r="AD7" s="734">
        <v>4</v>
      </c>
      <c r="AE7" s="146">
        <v>4</v>
      </c>
      <c r="AF7" s="347" t="s">
        <v>410</v>
      </c>
      <c r="AG7" s="369">
        <v>9.15</v>
      </c>
      <c r="AK7" s="749">
        <v>4</v>
      </c>
      <c r="AL7" s="781" t="s">
        <v>408</v>
      </c>
      <c r="AM7" s="909">
        <v>3.1019864894695965</v>
      </c>
      <c r="AQ7" s="734">
        <f t="shared" si="71"/>
        <v>4</v>
      </c>
      <c r="AR7" s="787">
        <f t="shared" si="1"/>
        <v>4</v>
      </c>
      <c r="AS7" s="518" t="s">
        <v>410</v>
      </c>
      <c r="AT7" s="518">
        <f t="shared" si="2"/>
        <v>9.15</v>
      </c>
      <c r="AU7" s="788">
        <f t="shared" si="72"/>
        <v>369439</v>
      </c>
      <c r="AV7" s="788">
        <f t="shared" si="99"/>
        <v>938.99079166666672</v>
      </c>
      <c r="AW7" s="789">
        <f t="shared" si="3"/>
        <v>971.70794064889787</v>
      </c>
      <c r="AX7" s="790">
        <f t="shared" si="4"/>
        <v>18.326441541544678</v>
      </c>
      <c r="AY7" s="358">
        <f t="shared" ref="AY7:AY27" si="108">AW7*AX7</f>
        <v>17807.948769756793</v>
      </c>
      <c r="AZ7" s="35">
        <f t="shared" si="73"/>
        <v>4.9352154205605902E-4</v>
      </c>
      <c r="BA7" s="55">
        <f t="shared" si="5"/>
        <v>4.8202680000000004</v>
      </c>
      <c r="BL7" s="338">
        <f t="shared" si="100"/>
        <v>4</v>
      </c>
      <c r="BM7" s="322">
        <f t="shared" si="6"/>
        <v>4</v>
      </c>
      <c r="BN7" s="518" t="s">
        <v>410</v>
      </c>
      <c r="BO7" s="659">
        <f t="shared" si="7"/>
        <v>4.9352154205605902E-4</v>
      </c>
      <c r="BP7" s="358">
        <f t="shared" si="74"/>
        <v>3876.9072981834729</v>
      </c>
      <c r="BQ7" s="659">
        <f t="shared" si="8"/>
        <v>1.6771250690733255E-4</v>
      </c>
      <c r="BR7" s="358">
        <f t="shared" si="75"/>
        <v>1317.4821899705989</v>
      </c>
      <c r="BS7" s="809">
        <f t="shared" si="9"/>
        <v>5194.3894881540718</v>
      </c>
      <c r="BT7" s="810">
        <f t="shared" si="10"/>
        <v>1.406021</v>
      </c>
      <c r="BX7" s="338">
        <f>+BX6+1</f>
        <v>4</v>
      </c>
      <c r="BY7" s="518" t="s">
        <v>409</v>
      </c>
      <c r="BZ7" s="822">
        <v>0.27072634510422583</v>
      </c>
      <c r="CA7" s="823">
        <f>BZ7*$CA$9</f>
        <v>6160477.6262984648</v>
      </c>
      <c r="CB7" s="824"/>
      <c r="CC7" s="824">
        <v>1</v>
      </c>
      <c r="CD7" s="823">
        <f t="shared" si="11"/>
        <v>0</v>
      </c>
      <c r="CE7" s="823">
        <f t="shared" si="11"/>
        <v>6160477.6262984648</v>
      </c>
      <c r="CI7" s="734">
        <f t="shared" si="101"/>
        <v>4</v>
      </c>
      <c r="CJ7" s="146">
        <f t="shared" si="12"/>
        <v>4</v>
      </c>
      <c r="CK7" s="518" t="s">
        <v>410</v>
      </c>
      <c r="CL7" s="344">
        <f t="shared" si="13"/>
        <v>1.6771250690733255E-4</v>
      </c>
      <c r="CM7" s="20">
        <f t="shared" si="14"/>
        <v>897.97303388793034</v>
      </c>
      <c r="CN7" s="344">
        <f t="shared" si="15"/>
        <v>1.1861846992906142E-3</v>
      </c>
      <c r="CO7" s="20">
        <f t="shared" si="16"/>
        <v>20640.951706937172</v>
      </c>
      <c r="CP7" s="20">
        <f t="shared" si="17"/>
        <v>21538.924740825103</v>
      </c>
      <c r="CQ7" s="344">
        <f t="shared" si="18"/>
        <v>9.4654257774850906E-4</v>
      </c>
      <c r="CR7" s="342">
        <f t="shared" si="19"/>
        <v>5.830171</v>
      </c>
      <c r="CV7" s="843">
        <v>4</v>
      </c>
      <c r="CW7" s="838" t="s">
        <v>72</v>
      </c>
      <c r="CX7" s="622"/>
      <c r="CY7" s="622"/>
      <c r="CZ7" s="839"/>
      <c r="DA7" s="424">
        <f>SUM(DA4:DA6)</f>
        <v>315749.99843852833</v>
      </c>
      <c r="DB7" s="424">
        <f>SUM(DB4:DB6)</f>
        <v>1954101.5837166219</v>
      </c>
      <c r="DC7" s="424">
        <f>SUM(DC4:DC6)</f>
        <v>3253485.7805500259</v>
      </c>
      <c r="DD7" s="911">
        <f>D8</f>
        <v>5523337.3627051758</v>
      </c>
      <c r="DH7" s="734">
        <v>4</v>
      </c>
      <c r="DI7" s="745">
        <f t="shared" si="20"/>
        <v>4</v>
      </c>
      <c r="DJ7" s="518" t="s">
        <v>410</v>
      </c>
      <c r="DK7" s="344">
        <f t="shared" si="21"/>
        <v>9.4654257774850906E-4</v>
      </c>
      <c r="DL7" s="20">
        <f t="shared" si="77"/>
        <v>298.8708174460923</v>
      </c>
      <c r="DM7" s="344">
        <f t="shared" si="22"/>
        <v>1.1861846992906142E-3</v>
      </c>
      <c r="DN7" s="20">
        <f t="shared" si="23"/>
        <v>2317.925399464214</v>
      </c>
      <c r="DO7" s="344">
        <f t="shared" si="24"/>
        <v>1.6771250690733255E-4</v>
      </c>
      <c r="DP7" s="20">
        <f t="shared" si="25"/>
        <v>545.65025644340449</v>
      </c>
      <c r="DQ7" s="20">
        <f t="shared" si="78"/>
        <v>3162.4464733537106</v>
      </c>
      <c r="DR7" s="344">
        <f t="shared" si="26"/>
        <v>5.7256080258780942E-4</v>
      </c>
      <c r="DS7" s="342">
        <f t="shared" si="27"/>
        <v>0.85601300000000002</v>
      </c>
      <c r="DW7" s="734">
        <f t="shared" si="102"/>
        <v>4</v>
      </c>
      <c r="DX7" s="745">
        <f t="shared" si="28"/>
        <v>4</v>
      </c>
      <c r="DY7" s="518" t="s">
        <v>410</v>
      </c>
      <c r="DZ7" s="344">
        <f t="shared" si="29"/>
        <v>1.1861846992906142E-3</v>
      </c>
      <c r="EA7" s="20">
        <f t="shared" si="30"/>
        <v>4263.8525808357881</v>
      </c>
      <c r="EB7" s="342">
        <f t="shared" si="31"/>
        <v>1.1541429999999999</v>
      </c>
      <c r="EF7" s="843">
        <v>4</v>
      </c>
      <c r="EG7" s="30" t="s">
        <v>72</v>
      </c>
      <c r="EH7" s="21">
        <f>SUM(EH4:EH6)</f>
        <v>9669260.545699697</v>
      </c>
      <c r="EI7" s="64">
        <f>EH7/$EH$7</f>
        <v>1</v>
      </c>
      <c r="EJ7" s="21">
        <f>D10</f>
        <v>10702170.12442342</v>
      </c>
      <c r="EN7" s="734">
        <f t="shared" si="103"/>
        <v>4</v>
      </c>
      <c r="EO7" s="745">
        <f t="shared" si="32"/>
        <v>4</v>
      </c>
      <c r="EP7" s="518" t="s">
        <v>410</v>
      </c>
      <c r="EQ7" s="344">
        <f t="shared" si="33"/>
        <v>6.2111689885640457E-4</v>
      </c>
      <c r="ER7" s="20">
        <f t="shared" si="34"/>
        <v>4443.2249781573837</v>
      </c>
      <c r="ES7" s="344">
        <f t="shared" si="35"/>
        <v>9.4654257774850906E-4</v>
      </c>
      <c r="ET7" s="20">
        <f t="shared" si="36"/>
        <v>912.94356014990365</v>
      </c>
      <c r="EU7" s="344">
        <f t="shared" si="37"/>
        <v>1.6771250690733255E-4</v>
      </c>
      <c r="EV7" s="20">
        <f t="shared" si="38"/>
        <v>433.37945853145732</v>
      </c>
      <c r="EW7" s="20">
        <f t="shared" si="39"/>
        <v>5789.5479968387444</v>
      </c>
      <c r="EX7" s="344">
        <f t="shared" si="40"/>
        <v>5.4096953510638171E-4</v>
      </c>
      <c r="EY7" s="342">
        <f t="shared" si="41"/>
        <v>1.5671189999999999</v>
      </c>
      <c r="FE7" s="25"/>
      <c r="FI7" s="734">
        <f t="shared" si="104"/>
        <v>4</v>
      </c>
      <c r="FJ7" s="735">
        <f t="shared" si="42"/>
        <v>4</v>
      </c>
      <c r="FK7" s="518" t="s">
        <v>410</v>
      </c>
      <c r="FL7" s="344">
        <f t="shared" si="43"/>
        <v>6.2111689885640457E-4</v>
      </c>
      <c r="FM7" s="20">
        <f t="shared" si="44"/>
        <v>11673.040287104901</v>
      </c>
      <c r="FN7" s="342">
        <f t="shared" si="45"/>
        <v>3.1596660000000001</v>
      </c>
      <c r="FR7" s="734">
        <f t="shared" si="105"/>
        <v>4</v>
      </c>
      <c r="FS7" s="735">
        <v>4</v>
      </c>
      <c r="FT7" s="518" t="s">
        <v>410</v>
      </c>
      <c r="FU7" s="20">
        <f t="shared" si="46"/>
        <v>17807.948769756793</v>
      </c>
      <c r="FV7" s="20">
        <f t="shared" si="47"/>
        <v>5194.3894881540718</v>
      </c>
      <c r="FW7" s="20">
        <f t="shared" si="48"/>
        <v>21538.924740825103</v>
      </c>
      <c r="FX7" s="20">
        <f t="shared" si="49"/>
        <v>3162.4464733537106</v>
      </c>
      <c r="FY7" s="20">
        <f t="shared" si="50"/>
        <v>4263.8525808357881</v>
      </c>
      <c r="FZ7" s="20">
        <f t="shared" si="51"/>
        <v>5789.5479968387444</v>
      </c>
      <c r="GA7" s="20">
        <f t="shared" si="52"/>
        <v>11673.040287104901</v>
      </c>
      <c r="GB7" s="20">
        <f t="shared" si="53"/>
        <v>69430.150336869119</v>
      </c>
      <c r="GC7" s="414">
        <f t="shared" si="54"/>
        <v>18.793399999999998</v>
      </c>
      <c r="GG7" s="734">
        <f t="shared" si="79"/>
        <v>4</v>
      </c>
      <c r="GH7" s="735">
        <f t="shared" si="55"/>
        <v>4</v>
      </c>
      <c r="GI7" s="518" t="s">
        <v>410</v>
      </c>
      <c r="GJ7" s="342">
        <f t="shared" si="56"/>
        <v>4.8202680000000004</v>
      </c>
      <c r="GK7" s="342">
        <f t="shared" si="57"/>
        <v>1.406021</v>
      </c>
      <c r="GL7" s="342">
        <f t="shared" si="58"/>
        <v>5.830171</v>
      </c>
      <c r="GM7" s="342">
        <f t="shared" si="59"/>
        <v>0.85601300000000002</v>
      </c>
      <c r="GN7" s="342">
        <f t="shared" si="60"/>
        <v>1.1541429999999999</v>
      </c>
      <c r="GO7" s="342">
        <f t="shared" si="61"/>
        <v>1.5671189999999999</v>
      </c>
      <c r="GP7" s="342">
        <f t="shared" si="62"/>
        <v>3.1596660000000001</v>
      </c>
      <c r="GQ7" s="342">
        <f t="shared" si="63"/>
        <v>18.793399999999998</v>
      </c>
      <c r="GR7" s="788">
        <f t="shared" si="80"/>
        <v>369439</v>
      </c>
      <c r="GS7" s="716"/>
      <c r="GV7" s="718">
        <f t="shared" si="81"/>
        <v>4</v>
      </c>
      <c r="GW7" s="735">
        <v>4</v>
      </c>
      <c r="GX7" s="518" t="s">
        <v>410</v>
      </c>
      <c r="GY7" s="322" t="s">
        <v>397</v>
      </c>
      <c r="GZ7" s="924">
        <f t="shared" si="82"/>
        <v>69430.150336869119</v>
      </c>
      <c r="HA7" s="788">
        <f t="shared" si="83"/>
        <v>369439</v>
      </c>
      <c r="HB7" s="922">
        <f t="shared" si="84"/>
        <v>18.793399999999998</v>
      </c>
      <c r="HC7" s="942">
        <f t="shared" si="85"/>
        <v>69430.149025999999</v>
      </c>
      <c r="HD7" s="858">
        <v>1.2685816618613899E-3</v>
      </c>
      <c r="HE7" s="54"/>
      <c r="HH7" s="54"/>
      <c r="HI7" s="54"/>
      <c r="HJ7" s="54"/>
      <c r="HK7" s="54"/>
      <c r="HL7" s="54"/>
      <c r="HM7" s="54"/>
      <c r="HN7" s="54"/>
      <c r="HQ7" s="734">
        <v>4</v>
      </c>
      <c r="HR7" s="869">
        <v>4</v>
      </c>
      <c r="HS7" s="518" t="s">
        <v>410</v>
      </c>
      <c r="HT7" s="788">
        <f t="shared" si="86"/>
        <v>369439</v>
      </c>
      <c r="HU7" s="917">
        <f t="shared" si="87"/>
        <v>18.793399999999998</v>
      </c>
      <c r="HV7" s="870"/>
      <c r="HW7" s="768"/>
      <c r="HX7" s="870">
        <v>-2.307269999999999</v>
      </c>
      <c r="HY7" s="769">
        <v>25</v>
      </c>
      <c r="IP7" s="734">
        <v>4</v>
      </c>
      <c r="IQ7" s="869">
        <v>4</v>
      </c>
      <c r="IR7" s="518" t="s">
        <v>410</v>
      </c>
      <c r="IS7" s="913">
        <f t="shared" si="106"/>
        <v>69430.149025999999</v>
      </c>
      <c r="IT7" s="915">
        <f t="shared" si="88"/>
        <v>369439</v>
      </c>
      <c r="IU7" s="919">
        <f t="shared" si="89"/>
        <v>18.793399999999998</v>
      </c>
      <c r="IV7" s="904">
        <f t="shared" si="90"/>
        <v>54052.145597262555</v>
      </c>
      <c r="IW7" s="904">
        <f t="shared" si="91"/>
        <v>315386.85440273746</v>
      </c>
      <c r="IX7" s="913">
        <f t="shared" si="92"/>
        <v>810.78218395893828</v>
      </c>
      <c r="IY7" s="882">
        <f t="shared" si="93"/>
        <v>68619.366842041054</v>
      </c>
      <c r="IZ7" s="928">
        <f t="shared" si="94"/>
        <v>18.573936926540256</v>
      </c>
      <c r="JA7" s="928">
        <f t="shared" si="95"/>
        <v>20.073936926540256</v>
      </c>
      <c r="JB7" s="913">
        <f t="shared" si="107"/>
        <v>69430.149025999999</v>
      </c>
      <c r="JC7" s="883">
        <v>0.22223345161998509</v>
      </c>
      <c r="JG7" s="734">
        <v>4</v>
      </c>
      <c r="JH7" s="869">
        <v>4</v>
      </c>
      <c r="JI7" s="518" t="s">
        <v>410</v>
      </c>
      <c r="JJ7" s="788">
        <f t="shared" si="96"/>
        <v>369439</v>
      </c>
      <c r="JK7" s="917">
        <f t="shared" si="97"/>
        <v>18.573936926540256</v>
      </c>
      <c r="JL7" s="870">
        <v>21.068999999999999</v>
      </c>
      <c r="JM7" s="768"/>
      <c r="JN7" s="870"/>
      <c r="JO7" s="769">
        <v>25</v>
      </c>
      <c r="JT7" s="936">
        <v>3149</v>
      </c>
      <c r="JU7" s="936">
        <f t="shared" si="64"/>
        <v>0</v>
      </c>
      <c r="JV7" s="13">
        <v>0</v>
      </c>
      <c r="JW7" s="13">
        <f t="shared" si="65"/>
        <v>0</v>
      </c>
    </row>
    <row r="8" spans="1:294" x14ac:dyDescent="0.3">
      <c r="B8" s="756">
        <v>5</v>
      </c>
      <c r="C8" s="764" t="s">
        <v>53</v>
      </c>
      <c r="D8" s="906">
        <f>'Actuals Phase I'!LV27</f>
        <v>5523337.3627051758</v>
      </c>
      <c r="E8" s="765">
        <v>4.8469810252916676E-2</v>
      </c>
      <c r="F8" s="766">
        <v>0.25074038084615313</v>
      </c>
      <c r="J8" s="756">
        <v>5</v>
      </c>
      <c r="K8" s="757">
        <v>5</v>
      </c>
      <c r="L8" s="732" t="s">
        <v>412</v>
      </c>
      <c r="M8" s="904">
        <v>0</v>
      </c>
      <c r="N8" s="944">
        <f t="shared" si="66"/>
        <v>0</v>
      </c>
      <c r="O8" s="753">
        <v>10</v>
      </c>
      <c r="P8" s="948">
        <f t="shared" si="67"/>
        <v>0</v>
      </c>
      <c r="Q8" s="733">
        <f t="shared" si="68"/>
        <v>0</v>
      </c>
      <c r="R8" s="758" t="s">
        <v>402</v>
      </c>
      <c r="V8" s="730">
        <f t="shared" si="98"/>
        <v>5</v>
      </c>
      <c r="W8" s="731">
        <f t="shared" si="0"/>
        <v>5</v>
      </c>
      <c r="X8" s="732" t="s">
        <v>412</v>
      </c>
      <c r="Y8" s="924">
        <f t="shared" si="69"/>
        <v>0</v>
      </c>
      <c r="Z8" s="944">
        <f t="shared" si="70"/>
        <v>0</v>
      </c>
      <c r="AD8" s="730">
        <v>5</v>
      </c>
      <c r="AE8" s="746">
        <v>5</v>
      </c>
      <c r="AF8" s="747" t="s">
        <v>412</v>
      </c>
      <c r="AG8" s="748">
        <v>73.19</v>
      </c>
      <c r="AK8" s="39"/>
      <c r="AQ8" s="730">
        <f t="shared" si="71"/>
        <v>5</v>
      </c>
      <c r="AR8" s="783">
        <f t="shared" si="1"/>
        <v>5</v>
      </c>
      <c r="AS8" s="732" t="s">
        <v>412</v>
      </c>
      <c r="AT8" s="732">
        <f t="shared" si="2"/>
        <v>73.19</v>
      </c>
      <c r="AU8" s="784">
        <f t="shared" si="72"/>
        <v>0</v>
      </c>
      <c r="AV8" s="784">
        <f t="shared" si="99"/>
        <v>0</v>
      </c>
      <c r="AW8" s="785">
        <f t="shared" si="3"/>
        <v>0</v>
      </c>
      <c r="AX8" s="786">
        <f t="shared" si="4"/>
        <v>18.326441541544678</v>
      </c>
      <c r="AY8" s="379">
        <f t="shared" si="108"/>
        <v>0</v>
      </c>
      <c r="AZ8" s="51">
        <f t="shared" si="73"/>
        <v>0</v>
      </c>
      <c r="BA8" s="53">
        <f t="shared" si="5"/>
        <v>0</v>
      </c>
      <c r="BL8" s="756">
        <f t="shared" si="100"/>
        <v>5</v>
      </c>
      <c r="BM8" s="758">
        <f t="shared" si="6"/>
        <v>5</v>
      </c>
      <c r="BN8" s="732" t="s">
        <v>412</v>
      </c>
      <c r="BO8" s="733">
        <f t="shared" si="7"/>
        <v>0</v>
      </c>
      <c r="BP8" s="379">
        <f t="shared" si="74"/>
        <v>0</v>
      </c>
      <c r="BQ8" s="733">
        <f t="shared" si="8"/>
        <v>0</v>
      </c>
      <c r="BR8" s="379">
        <f t="shared" si="75"/>
        <v>0</v>
      </c>
      <c r="BS8" s="807">
        <f t="shared" si="9"/>
        <v>0</v>
      </c>
      <c r="BT8" s="808">
        <f t="shared" si="10"/>
        <v>0</v>
      </c>
      <c r="BX8" s="842">
        <f>+BX7+1</f>
        <v>5</v>
      </c>
      <c r="BY8" s="825" t="s">
        <v>411</v>
      </c>
      <c r="BZ8" s="826">
        <v>0.37562046812353972</v>
      </c>
      <c r="CA8" s="827">
        <f>BZ8*$CA$9</f>
        <v>8547382.0029002503</v>
      </c>
      <c r="CB8" s="828"/>
      <c r="CC8" s="828">
        <v>1</v>
      </c>
      <c r="CD8" s="827">
        <f t="shared" si="11"/>
        <v>0</v>
      </c>
      <c r="CE8" s="827">
        <f t="shared" si="11"/>
        <v>8547382.0029002503</v>
      </c>
      <c r="CI8" s="730">
        <f t="shared" si="101"/>
        <v>5</v>
      </c>
      <c r="CJ8" s="746">
        <f t="shared" si="12"/>
        <v>5</v>
      </c>
      <c r="CK8" s="732" t="s">
        <v>412</v>
      </c>
      <c r="CL8" s="733">
        <f t="shared" si="13"/>
        <v>0</v>
      </c>
      <c r="CM8" s="379">
        <f t="shared" si="14"/>
        <v>0</v>
      </c>
      <c r="CN8" s="733">
        <f t="shared" si="15"/>
        <v>0</v>
      </c>
      <c r="CO8" s="379">
        <f t="shared" si="16"/>
        <v>0</v>
      </c>
      <c r="CP8" s="379">
        <f t="shared" si="17"/>
        <v>0</v>
      </c>
      <c r="CQ8" s="733">
        <f t="shared" si="18"/>
        <v>0</v>
      </c>
      <c r="CR8" s="808">
        <f t="shared" si="19"/>
        <v>0</v>
      </c>
      <c r="CX8" s="13"/>
      <c r="CY8" s="13"/>
      <c r="CZ8" s="13"/>
      <c r="DA8" s="13"/>
      <c r="DB8" s="13"/>
      <c r="DC8" s="13"/>
      <c r="DD8" s="13"/>
      <c r="DH8" s="730">
        <v>5</v>
      </c>
      <c r="DI8" s="840">
        <f t="shared" si="20"/>
        <v>5</v>
      </c>
      <c r="DJ8" s="732" t="s">
        <v>412</v>
      </c>
      <c r="DK8" s="733">
        <f t="shared" si="21"/>
        <v>0</v>
      </c>
      <c r="DL8" s="379">
        <f t="shared" si="77"/>
        <v>0</v>
      </c>
      <c r="DM8" s="733">
        <f t="shared" si="22"/>
        <v>0</v>
      </c>
      <c r="DN8" s="379">
        <f t="shared" si="23"/>
        <v>0</v>
      </c>
      <c r="DO8" s="733">
        <f t="shared" si="24"/>
        <v>0</v>
      </c>
      <c r="DP8" s="379">
        <f t="shared" si="25"/>
        <v>0</v>
      </c>
      <c r="DQ8" s="379">
        <f t="shared" si="78"/>
        <v>0</v>
      </c>
      <c r="DR8" s="733">
        <f t="shared" si="26"/>
        <v>0</v>
      </c>
      <c r="DS8" s="808">
        <f t="shared" si="27"/>
        <v>0</v>
      </c>
      <c r="DW8" s="730">
        <f t="shared" si="102"/>
        <v>5</v>
      </c>
      <c r="DX8" s="840">
        <f t="shared" si="28"/>
        <v>5</v>
      </c>
      <c r="DY8" s="732" t="s">
        <v>412</v>
      </c>
      <c r="DZ8" s="733">
        <f t="shared" si="29"/>
        <v>0</v>
      </c>
      <c r="EA8" s="379">
        <f t="shared" si="30"/>
        <v>0</v>
      </c>
      <c r="EB8" s="808">
        <f t="shared" si="31"/>
        <v>0</v>
      </c>
      <c r="EN8" s="730">
        <f t="shared" si="103"/>
        <v>5</v>
      </c>
      <c r="EO8" s="840">
        <f t="shared" si="32"/>
        <v>5</v>
      </c>
      <c r="EP8" s="732" t="s">
        <v>412</v>
      </c>
      <c r="EQ8" s="733">
        <f t="shared" si="33"/>
        <v>0</v>
      </c>
      <c r="ER8" s="379">
        <f t="shared" si="34"/>
        <v>0</v>
      </c>
      <c r="ES8" s="733">
        <f t="shared" si="35"/>
        <v>0</v>
      </c>
      <c r="ET8" s="379">
        <f t="shared" si="36"/>
        <v>0</v>
      </c>
      <c r="EU8" s="733">
        <f t="shared" si="37"/>
        <v>0</v>
      </c>
      <c r="EV8" s="379">
        <f t="shared" si="38"/>
        <v>0</v>
      </c>
      <c r="EW8" s="379">
        <f t="shared" si="39"/>
        <v>0</v>
      </c>
      <c r="EX8" s="733">
        <f t="shared" si="40"/>
        <v>0</v>
      </c>
      <c r="EY8" s="808">
        <f t="shared" si="41"/>
        <v>0</v>
      </c>
      <c r="FI8" s="730">
        <f t="shared" si="104"/>
        <v>5</v>
      </c>
      <c r="FJ8" s="731">
        <f t="shared" si="42"/>
        <v>5</v>
      </c>
      <c r="FK8" s="732" t="s">
        <v>412</v>
      </c>
      <c r="FL8" s="733">
        <f t="shared" si="43"/>
        <v>0</v>
      </c>
      <c r="FM8" s="379">
        <f t="shared" si="44"/>
        <v>0</v>
      </c>
      <c r="FN8" s="808">
        <f t="shared" si="45"/>
        <v>0</v>
      </c>
      <c r="FR8" s="730">
        <f t="shared" si="105"/>
        <v>5</v>
      </c>
      <c r="FS8" s="731">
        <v>5</v>
      </c>
      <c r="FT8" s="732" t="s">
        <v>412</v>
      </c>
      <c r="FU8" s="379">
        <f t="shared" si="46"/>
        <v>0</v>
      </c>
      <c r="FV8" s="379">
        <f t="shared" si="47"/>
        <v>0</v>
      </c>
      <c r="FW8" s="379">
        <f t="shared" si="48"/>
        <v>0</v>
      </c>
      <c r="FX8" s="379">
        <f t="shared" si="49"/>
        <v>0</v>
      </c>
      <c r="FY8" s="379">
        <f t="shared" si="50"/>
        <v>0</v>
      </c>
      <c r="FZ8" s="379">
        <f t="shared" si="51"/>
        <v>0</v>
      </c>
      <c r="GA8" s="379">
        <f t="shared" si="52"/>
        <v>0</v>
      </c>
      <c r="GB8" s="379">
        <f t="shared" si="53"/>
        <v>0</v>
      </c>
      <c r="GC8" s="852">
        <f t="shared" si="54"/>
        <v>0</v>
      </c>
      <c r="GG8" s="730">
        <f t="shared" si="79"/>
        <v>5</v>
      </c>
      <c r="GH8" s="731">
        <f t="shared" si="55"/>
        <v>5</v>
      </c>
      <c r="GI8" s="732" t="s">
        <v>412</v>
      </c>
      <c r="GJ8" s="808">
        <f t="shared" si="56"/>
        <v>0</v>
      </c>
      <c r="GK8" s="808">
        <f t="shared" si="57"/>
        <v>0</v>
      </c>
      <c r="GL8" s="808">
        <f t="shared" si="58"/>
        <v>0</v>
      </c>
      <c r="GM8" s="808">
        <f t="shared" si="59"/>
        <v>0</v>
      </c>
      <c r="GN8" s="808">
        <f t="shared" si="60"/>
        <v>0</v>
      </c>
      <c r="GO8" s="808">
        <f t="shared" si="61"/>
        <v>0</v>
      </c>
      <c r="GP8" s="808">
        <f t="shared" si="62"/>
        <v>0</v>
      </c>
      <c r="GQ8" s="808">
        <f t="shared" si="63"/>
        <v>0</v>
      </c>
      <c r="GR8" s="784">
        <f t="shared" si="80"/>
        <v>0</v>
      </c>
      <c r="GS8" s="716"/>
      <c r="GV8" s="717">
        <f t="shared" si="81"/>
        <v>5</v>
      </c>
      <c r="GW8" s="731">
        <v>5</v>
      </c>
      <c r="GX8" s="732" t="s">
        <v>412</v>
      </c>
      <c r="GY8" s="758" t="s">
        <v>402</v>
      </c>
      <c r="GZ8" s="906">
        <f t="shared" si="82"/>
        <v>0</v>
      </c>
      <c r="HA8" s="784">
        <f t="shared" si="83"/>
        <v>0</v>
      </c>
      <c r="HB8" s="922">
        <v>3149</v>
      </c>
      <c r="HC8" s="942">
        <f t="shared" si="85"/>
        <v>0</v>
      </c>
      <c r="HD8" s="857">
        <v>0</v>
      </c>
      <c r="HE8" s="54"/>
      <c r="HH8" s="54"/>
      <c r="HI8" s="54"/>
      <c r="HJ8" s="54"/>
      <c r="HK8" s="54"/>
      <c r="HL8" s="54"/>
      <c r="HM8" s="54"/>
      <c r="HN8" s="54"/>
      <c r="HQ8" s="730">
        <v>5</v>
      </c>
      <c r="HR8" s="867">
        <v>5</v>
      </c>
      <c r="HS8" s="732" t="s">
        <v>412</v>
      </c>
      <c r="HT8" s="784">
        <f t="shared" si="86"/>
        <v>0</v>
      </c>
      <c r="HU8" s="917">
        <f t="shared" si="87"/>
        <v>3149</v>
      </c>
      <c r="HV8" s="868"/>
      <c r="HW8" s="765"/>
      <c r="HX8" s="868">
        <v>0</v>
      </c>
      <c r="HY8" s="766">
        <v>10000</v>
      </c>
      <c r="IP8" s="730">
        <v>5</v>
      </c>
      <c r="IQ8" s="867">
        <v>5</v>
      </c>
      <c r="IR8" s="732" t="s">
        <v>412</v>
      </c>
      <c r="IS8" s="913">
        <f t="shared" si="106"/>
        <v>0</v>
      </c>
      <c r="IT8" s="915">
        <f t="shared" si="88"/>
        <v>0</v>
      </c>
      <c r="IU8" s="918">
        <f t="shared" si="89"/>
        <v>3149</v>
      </c>
      <c r="IV8" s="904">
        <v>0</v>
      </c>
      <c r="IW8" s="904">
        <f t="shared" si="91"/>
        <v>0</v>
      </c>
      <c r="IX8" s="913">
        <v>0</v>
      </c>
      <c r="IY8" s="881">
        <f t="shared" si="93"/>
        <v>0</v>
      </c>
      <c r="IZ8" s="928">
        <v>3149</v>
      </c>
      <c r="JA8" s="929">
        <f>IZ8</f>
        <v>3149</v>
      </c>
      <c r="JB8" s="913">
        <f t="shared" si="107"/>
        <v>0</v>
      </c>
      <c r="JC8" s="852">
        <v>0</v>
      </c>
      <c r="JG8" s="730">
        <v>5</v>
      </c>
      <c r="JH8" s="867">
        <v>5</v>
      </c>
      <c r="JI8" s="732" t="s">
        <v>412</v>
      </c>
      <c r="JJ8" s="784">
        <f t="shared" si="96"/>
        <v>0</v>
      </c>
      <c r="JK8" s="917">
        <f t="shared" si="97"/>
        <v>3149</v>
      </c>
      <c r="JL8" s="868">
        <v>3149</v>
      </c>
      <c r="JM8" s="765"/>
      <c r="JN8" s="868"/>
      <c r="JO8" s="766">
        <v>10000</v>
      </c>
      <c r="JT8" s="936">
        <v>7.0775299265402563</v>
      </c>
      <c r="JU8" s="936">
        <f t="shared" si="64"/>
        <v>0</v>
      </c>
      <c r="JV8" s="13">
        <v>7728396</v>
      </c>
      <c r="JW8" s="13">
        <f t="shared" si="65"/>
        <v>0</v>
      </c>
    </row>
    <row r="9" spans="1:294" ht="17.25" thickBot="1" x14ac:dyDescent="0.35">
      <c r="B9" s="338">
        <v>6</v>
      </c>
      <c r="C9" s="770" t="s">
        <v>51</v>
      </c>
      <c r="D9" s="906">
        <f>'Actuals Phase I'!LR27+'Actuals Phase I'!LT27</f>
        <v>3594594.1499546762</v>
      </c>
      <c r="E9" s="768">
        <v>3.1544206870466232E-2</v>
      </c>
      <c r="F9" s="769">
        <v>0.16318212105471561</v>
      </c>
      <c r="J9" s="338">
        <v>6</v>
      </c>
      <c r="K9" s="759">
        <v>6</v>
      </c>
      <c r="L9" s="518" t="s">
        <v>413</v>
      </c>
      <c r="M9" s="904">
        <v>7728396</v>
      </c>
      <c r="N9" s="943">
        <f t="shared" si="66"/>
        <v>3.5084240362620116E-3</v>
      </c>
      <c r="O9" s="455">
        <v>1748.7241650294695</v>
      </c>
      <c r="P9" s="948">
        <f t="shared" si="67"/>
        <v>4419.4482780935095</v>
      </c>
      <c r="Q9" s="659">
        <f t="shared" si="68"/>
        <v>2.5050128342097443E-3</v>
      </c>
      <c r="R9" s="322" t="s">
        <v>397</v>
      </c>
      <c r="V9" s="734">
        <f t="shared" si="98"/>
        <v>6</v>
      </c>
      <c r="W9" s="735">
        <f t="shared" si="0"/>
        <v>6</v>
      </c>
      <c r="X9" s="518" t="s">
        <v>413</v>
      </c>
      <c r="Y9" s="924">
        <f t="shared" si="69"/>
        <v>421511.04265490681</v>
      </c>
      <c r="Z9" s="943">
        <f t="shared" si="70"/>
        <v>5.0379048257240145E-3</v>
      </c>
      <c r="AD9" s="734">
        <v>6</v>
      </c>
      <c r="AE9" s="146">
        <v>6</v>
      </c>
      <c r="AF9" s="347" t="s">
        <v>413</v>
      </c>
      <c r="AG9" s="369">
        <v>6.16</v>
      </c>
      <c r="AQ9" s="734">
        <f t="shared" si="71"/>
        <v>6</v>
      </c>
      <c r="AR9" s="787">
        <f t="shared" si="1"/>
        <v>6</v>
      </c>
      <c r="AS9" s="518" t="s">
        <v>413</v>
      </c>
      <c r="AT9" s="518">
        <f t="shared" si="2"/>
        <v>6.16</v>
      </c>
      <c r="AU9" s="788">
        <f t="shared" si="72"/>
        <v>7728396</v>
      </c>
      <c r="AV9" s="788">
        <f t="shared" si="99"/>
        <v>13224.144266666666</v>
      </c>
      <c r="AW9" s="789">
        <f t="shared" si="3"/>
        <v>13684.911616011066</v>
      </c>
      <c r="AX9" s="790">
        <f t="shared" si="4"/>
        <v>18.326441541544678</v>
      </c>
      <c r="AY9" s="358">
        <f t="shared" si="108"/>
        <v>250795.73273203251</v>
      </c>
      <c r="AZ9" s="35">
        <f t="shared" si="73"/>
        <v>6.9504409721346206E-3</v>
      </c>
      <c r="BA9" s="55">
        <f t="shared" si="5"/>
        <v>3.24512</v>
      </c>
      <c r="BL9" s="338">
        <f t="shared" si="100"/>
        <v>6</v>
      </c>
      <c r="BM9" s="322">
        <f t="shared" si="6"/>
        <v>6</v>
      </c>
      <c r="BN9" s="518" t="s">
        <v>413</v>
      </c>
      <c r="BO9" s="659">
        <f t="shared" si="7"/>
        <v>6.9504409721346206E-3</v>
      </c>
      <c r="BP9" s="358">
        <f t="shared" si="74"/>
        <v>54599.876670431804</v>
      </c>
      <c r="BQ9" s="659">
        <f t="shared" si="8"/>
        <v>3.5084240362620116E-3</v>
      </c>
      <c r="BR9" s="358">
        <f t="shared" si="75"/>
        <v>27560.772108629619</v>
      </c>
      <c r="BS9" s="809">
        <f t="shared" si="9"/>
        <v>82160.648779061419</v>
      </c>
      <c r="BT9" s="810">
        <f t="shared" si="10"/>
        <v>1.0631010000000001</v>
      </c>
      <c r="BX9" s="421">
        <v>6</v>
      </c>
      <c r="BY9" s="63" t="s">
        <v>72</v>
      </c>
      <c r="BZ9" s="65">
        <f>SUM(BZ4:BZ8)</f>
        <v>1</v>
      </c>
      <c r="CA9" s="66">
        <v>22755368.059679482</v>
      </c>
      <c r="CB9" s="67"/>
      <c r="CC9" s="67"/>
      <c r="CD9" s="66">
        <f>SUM(CD4:CD8)</f>
        <v>5354240.1246443363</v>
      </c>
      <c r="CE9" s="66">
        <f>SUM(CE4:CE8)</f>
        <v>17401127.935035147</v>
      </c>
      <c r="CI9" s="734">
        <f t="shared" si="101"/>
        <v>6</v>
      </c>
      <c r="CJ9" s="146">
        <f t="shared" si="12"/>
        <v>6</v>
      </c>
      <c r="CK9" s="518" t="s">
        <v>413</v>
      </c>
      <c r="CL9" s="344">
        <f t="shared" si="13"/>
        <v>3.5084240362620116E-3</v>
      </c>
      <c r="CM9" s="20">
        <f t="shared" si="14"/>
        <v>18784.9447492207</v>
      </c>
      <c r="CN9" s="344">
        <f t="shared" si="15"/>
        <v>2.5050128342097443E-3</v>
      </c>
      <c r="CO9" s="20">
        <f t="shared" si="16"/>
        <v>43590.048806988751</v>
      </c>
      <c r="CP9" s="20">
        <f t="shared" si="17"/>
        <v>62374.993556209447</v>
      </c>
      <c r="CQ9" s="344">
        <f t="shared" si="18"/>
        <v>2.741111169576399E-3</v>
      </c>
      <c r="CR9" s="342">
        <f t="shared" si="19"/>
        <v>0.80708800000000003</v>
      </c>
      <c r="DH9" s="734">
        <v>6</v>
      </c>
      <c r="DI9" s="745">
        <f t="shared" si="20"/>
        <v>6</v>
      </c>
      <c r="DJ9" s="518" t="s">
        <v>413</v>
      </c>
      <c r="DK9" s="344">
        <f t="shared" si="21"/>
        <v>2.741111169576399E-3</v>
      </c>
      <c r="DL9" s="20">
        <f t="shared" si="77"/>
        <v>865.50584751358053</v>
      </c>
      <c r="DM9" s="344">
        <f t="shared" si="22"/>
        <v>2.5050128342097443E-3</v>
      </c>
      <c r="DN9" s="20">
        <f t="shared" si="23"/>
        <v>4895.0495465597251</v>
      </c>
      <c r="DO9" s="344">
        <f t="shared" si="24"/>
        <v>3.5084240362620116E-3</v>
      </c>
      <c r="DP9" s="20">
        <f t="shared" si="25"/>
        <v>11414.607714118383</v>
      </c>
      <c r="DQ9" s="20">
        <f t="shared" si="78"/>
        <v>17175.163108191689</v>
      </c>
      <c r="DR9" s="344">
        <f t="shared" si="26"/>
        <v>3.1095625670382325E-3</v>
      </c>
      <c r="DS9" s="342">
        <f t="shared" si="27"/>
        <v>0.22223499999999999</v>
      </c>
      <c r="DW9" s="734">
        <f t="shared" si="102"/>
        <v>6</v>
      </c>
      <c r="DX9" s="745">
        <f t="shared" si="28"/>
        <v>6</v>
      </c>
      <c r="DY9" s="518" t="s">
        <v>413</v>
      </c>
      <c r="DZ9" s="344">
        <f t="shared" si="29"/>
        <v>2.5050128342097443E-3</v>
      </c>
      <c r="EA9" s="20">
        <f t="shared" si="30"/>
        <v>9004.5044794117293</v>
      </c>
      <c r="EB9" s="342">
        <f t="shared" si="31"/>
        <v>0.116512</v>
      </c>
      <c r="EN9" s="734">
        <f t="shared" si="103"/>
        <v>6</v>
      </c>
      <c r="EO9" s="745">
        <f t="shared" si="32"/>
        <v>6</v>
      </c>
      <c r="EP9" s="518" t="s">
        <v>413</v>
      </c>
      <c r="EQ9" s="344">
        <f t="shared" si="33"/>
        <v>5.0379048257240145E-3</v>
      </c>
      <c r="ER9" s="20">
        <f t="shared" si="34"/>
        <v>36039.181352899599</v>
      </c>
      <c r="ES9" s="344">
        <f t="shared" si="35"/>
        <v>2.741111169576399E-3</v>
      </c>
      <c r="ET9" s="20">
        <f t="shared" si="36"/>
        <v>2643.8111171631185</v>
      </c>
      <c r="EU9" s="344">
        <f t="shared" si="37"/>
        <v>3.5084240362620116E-3</v>
      </c>
      <c r="EV9" s="20">
        <f t="shared" si="38"/>
        <v>9065.9840292894914</v>
      </c>
      <c r="EW9" s="20">
        <f t="shared" si="39"/>
        <v>47748.976499352211</v>
      </c>
      <c r="EX9" s="344">
        <f t="shared" si="40"/>
        <v>4.461616283821193E-3</v>
      </c>
      <c r="EY9" s="342">
        <f t="shared" si="41"/>
        <v>0.617838</v>
      </c>
      <c r="FI9" s="734">
        <f t="shared" si="104"/>
        <v>6</v>
      </c>
      <c r="FJ9" s="735">
        <f t="shared" si="42"/>
        <v>6</v>
      </c>
      <c r="FK9" s="518" t="s">
        <v>413</v>
      </c>
      <c r="FL9" s="344">
        <f t="shared" si="43"/>
        <v>5.0379048257240145E-3</v>
      </c>
      <c r="FM9" s="20">
        <f t="shared" si="44"/>
        <v>94680.51199629702</v>
      </c>
      <c r="FN9" s="342">
        <f t="shared" si="45"/>
        <v>1.2250989999999999</v>
      </c>
      <c r="FR9" s="734">
        <f t="shared" si="105"/>
        <v>6</v>
      </c>
      <c r="FS9" s="735">
        <v>6</v>
      </c>
      <c r="FT9" s="518" t="s">
        <v>413</v>
      </c>
      <c r="FU9" s="20">
        <f t="shared" si="46"/>
        <v>250795.73273203251</v>
      </c>
      <c r="FV9" s="20">
        <f t="shared" si="47"/>
        <v>82160.648779061419</v>
      </c>
      <c r="FW9" s="20">
        <f t="shared" si="48"/>
        <v>62374.993556209447</v>
      </c>
      <c r="FX9" s="20">
        <f t="shared" si="49"/>
        <v>17175.163108191689</v>
      </c>
      <c r="FY9" s="20">
        <f t="shared" si="50"/>
        <v>9004.5044794117293</v>
      </c>
      <c r="FZ9" s="20">
        <f t="shared" si="51"/>
        <v>47748.976499352211</v>
      </c>
      <c r="GA9" s="20">
        <f t="shared" si="52"/>
        <v>94680.51199629702</v>
      </c>
      <c r="GB9" s="20">
        <f t="shared" si="53"/>
        <v>563940.53115055605</v>
      </c>
      <c r="GC9" s="414">
        <f t="shared" si="54"/>
        <v>7.2969929999999996</v>
      </c>
      <c r="GG9" s="734">
        <f t="shared" si="79"/>
        <v>6</v>
      </c>
      <c r="GH9" s="735">
        <f t="shared" si="55"/>
        <v>6</v>
      </c>
      <c r="GI9" s="518" t="s">
        <v>413</v>
      </c>
      <c r="GJ9" s="342">
        <f t="shared" si="56"/>
        <v>3.24512</v>
      </c>
      <c r="GK9" s="342">
        <f t="shared" si="57"/>
        <v>1.0631010000000001</v>
      </c>
      <c r="GL9" s="342">
        <f t="shared" si="58"/>
        <v>0.80708800000000003</v>
      </c>
      <c r="GM9" s="342">
        <f t="shared" si="59"/>
        <v>0.22223499999999999</v>
      </c>
      <c r="GN9" s="342">
        <f t="shared" si="60"/>
        <v>0.116512</v>
      </c>
      <c r="GO9" s="342">
        <f t="shared" si="61"/>
        <v>0.617838</v>
      </c>
      <c r="GP9" s="342">
        <f t="shared" si="62"/>
        <v>1.2250989999999999</v>
      </c>
      <c r="GQ9" s="342">
        <f t="shared" si="63"/>
        <v>7.2969929999999996</v>
      </c>
      <c r="GR9" s="788">
        <f t="shared" si="80"/>
        <v>7728396</v>
      </c>
      <c r="GS9" s="716"/>
      <c r="GV9" s="718">
        <f t="shared" si="81"/>
        <v>6</v>
      </c>
      <c r="GW9" s="735">
        <v>6</v>
      </c>
      <c r="GX9" s="518" t="s">
        <v>413</v>
      </c>
      <c r="GY9" s="322" t="s">
        <v>397</v>
      </c>
      <c r="GZ9" s="924">
        <f t="shared" si="82"/>
        <v>563940.53115055605</v>
      </c>
      <c r="HA9" s="788">
        <f t="shared" si="83"/>
        <v>7728396</v>
      </c>
      <c r="HB9" s="922">
        <f t="shared" ref="HB9:HB27" si="109">ROUND(IF(HA9&lt;&gt;0,GZ9/HA9*100,0),6)</f>
        <v>7.2969929999999996</v>
      </c>
      <c r="HC9" s="942">
        <f t="shared" si="85"/>
        <v>563940.51513227995</v>
      </c>
      <c r="HD9" s="858">
        <v>2.5401523569598794E-2</v>
      </c>
      <c r="HE9" s="54"/>
      <c r="HH9" s="54"/>
      <c r="HI9" s="54"/>
      <c r="HJ9" s="54"/>
      <c r="HK9" s="54"/>
      <c r="HL9" s="54"/>
      <c r="HM9" s="54"/>
      <c r="HN9" s="54"/>
      <c r="HQ9" s="734">
        <v>6</v>
      </c>
      <c r="HR9" s="869">
        <v>6</v>
      </c>
      <c r="HS9" s="518" t="s">
        <v>413</v>
      </c>
      <c r="HT9" s="788">
        <f t="shared" si="86"/>
        <v>7728396</v>
      </c>
      <c r="HU9" s="917">
        <f t="shared" si="87"/>
        <v>7.2969929999999996</v>
      </c>
      <c r="HV9" s="870"/>
      <c r="HW9" s="768"/>
      <c r="HX9" s="870">
        <v>-2.1061819999999996</v>
      </c>
      <c r="HY9" s="769">
        <v>10</v>
      </c>
      <c r="IP9" s="734">
        <v>6</v>
      </c>
      <c r="IQ9" s="869">
        <v>6</v>
      </c>
      <c r="IR9" s="518" t="s">
        <v>413</v>
      </c>
      <c r="IS9" s="913">
        <f t="shared" si="106"/>
        <v>563940.51513227995</v>
      </c>
      <c r="IT9" s="915">
        <f t="shared" si="88"/>
        <v>7728396</v>
      </c>
      <c r="IU9" s="919">
        <f t="shared" si="89"/>
        <v>7.2969929999999996</v>
      </c>
      <c r="IV9" s="904">
        <f t="shared" ref="IV9:IV14" si="110">IT9*$IK$4/(1-$IL$4)</f>
        <v>1130731.6927159871</v>
      </c>
      <c r="IW9" s="904">
        <f t="shared" si="91"/>
        <v>6597664.3072840124</v>
      </c>
      <c r="IX9" s="913">
        <f t="shared" ref="IX9:IX14" si="111">IV9*$II$4</f>
        <v>16960.975390739804</v>
      </c>
      <c r="IY9" s="882">
        <f t="shared" si="93"/>
        <v>546979.53974154009</v>
      </c>
      <c r="IZ9" s="928">
        <f t="shared" ref="IZ9:IZ14" si="112">100*IY9/IT9</f>
        <v>7.0775299265402563</v>
      </c>
      <c r="JA9" s="928">
        <f t="shared" ref="JA9:JA14" si="113">IZ9+1.5</f>
        <v>8.5775299265402563</v>
      </c>
      <c r="JB9" s="913">
        <f t="shared" si="107"/>
        <v>563940.51513227983</v>
      </c>
      <c r="JC9" s="883">
        <v>0.22223336728629928</v>
      </c>
      <c r="JG9" s="734">
        <v>6</v>
      </c>
      <c r="JH9" s="869">
        <v>6</v>
      </c>
      <c r="JI9" s="518" t="s">
        <v>413</v>
      </c>
      <c r="JJ9" s="788">
        <f t="shared" si="96"/>
        <v>7728396</v>
      </c>
      <c r="JK9" s="917">
        <f t="shared" si="97"/>
        <v>7.0775299265402563</v>
      </c>
      <c r="JL9" s="870">
        <v>9.234</v>
      </c>
      <c r="JM9" s="768"/>
      <c r="JN9" s="870"/>
      <c r="JO9" s="769">
        <v>10</v>
      </c>
      <c r="JT9" s="936">
        <v>6.961513926540257</v>
      </c>
      <c r="JU9" s="936">
        <f t="shared" si="64"/>
        <v>0</v>
      </c>
      <c r="JV9" s="13">
        <v>39453520</v>
      </c>
      <c r="JW9" s="13">
        <f t="shared" si="65"/>
        <v>0</v>
      </c>
    </row>
    <row r="10" spans="1:294" x14ac:dyDescent="0.3">
      <c r="B10" s="756">
        <v>7</v>
      </c>
      <c r="C10" s="764" t="s">
        <v>54</v>
      </c>
      <c r="D10" s="906">
        <f>'Actuals Phase I'!LX27</f>
        <v>10702170.12442342</v>
      </c>
      <c r="E10" s="765">
        <v>9.3916435148038185E-2</v>
      </c>
      <c r="F10" s="766">
        <v>0.48584144633236104</v>
      </c>
      <c r="J10" s="756">
        <v>7</v>
      </c>
      <c r="K10" s="757">
        <v>7</v>
      </c>
      <c r="L10" s="732" t="s">
        <v>414</v>
      </c>
      <c r="M10" s="904">
        <v>39453520</v>
      </c>
      <c r="N10" s="944">
        <f t="shared" si="66"/>
        <v>1.7910531225773629E-2</v>
      </c>
      <c r="O10" s="753">
        <v>896.12073276521915</v>
      </c>
      <c r="P10" s="948">
        <f t="shared" si="67"/>
        <v>44027.013947390391</v>
      </c>
      <c r="Q10" s="733">
        <f t="shared" si="68"/>
        <v>2.4955204371736917E-2</v>
      </c>
      <c r="R10" s="758" t="s">
        <v>397</v>
      </c>
      <c r="V10" s="730">
        <f t="shared" si="98"/>
        <v>7</v>
      </c>
      <c r="W10" s="731">
        <f t="shared" si="0"/>
        <v>7</v>
      </c>
      <c r="X10" s="732" t="s">
        <v>414</v>
      </c>
      <c r="Y10" s="924">
        <f t="shared" si="69"/>
        <v>2110029.7562290216</v>
      </c>
      <c r="Z10" s="944">
        <f t="shared" si="70"/>
        <v>2.5219099894449013E-2</v>
      </c>
      <c r="AD10" s="730">
        <v>7</v>
      </c>
      <c r="AE10" s="746">
        <v>7</v>
      </c>
      <c r="AF10" s="747" t="s">
        <v>414</v>
      </c>
      <c r="AG10" s="748">
        <v>4.88</v>
      </c>
      <c r="AQ10" s="730">
        <f t="shared" si="71"/>
        <v>7</v>
      </c>
      <c r="AR10" s="783">
        <f t="shared" si="1"/>
        <v>7</v>
      </c>
      <c r="AS10" s="732" t="s">
        <v>414</v>
      </c>
      <c r="AT10" s="732">
        <f t="shared" si="2"/>
        <v>4.88</v>
      </c>
      <c r="AU10" s="784">
        <f t="shared" si="72"/>
        <v>39453520</v>
      </c>
      <c r="AV10" s="784">
        <f t="shared" si="99"/>
        <v>53481.438222222219</v>
      </c>
      <c r="AW10" s="785">
        <f t="shared" si="3"/>
        <v>55344.885870089653</v>
      </c>
      <c r="AX10" s="786">
        <f t="shared" si="4"/>
        <v>18.326441541544678</v>
      </c>
      <c r="AY10" s="379">
        <f t="shared" si="108"/>
        <v>1014274.8155216601</v>
      </c>
      <c r="AZ10" s="51">
        <f t="shared" si="73"/>
        <v>2.8109159426322344E-2</v>
      </c>
      <c r="BA10" s="53">
        <f t="shared" si="5"/>
        <v>2.5708090000000001</v>
      </c>
      <c r="BL10" s="756">
        <f t="shared" si="100"/>
        <v>7</v>
      </c>
      <c r="BM10" s="758">
        <f t="shared" si="6"/>
        <v>7</v>
      </c>
      <c r="BN10" s="732" t="s">
        <v>414</v>
      </c>
      <c r="BO10" s="733">
        <f t="shared" si="7"/>
        <v>2.8109159426322344E-2</v>
      </c>
      <c r="BP10" s="379">
        <f t="shared" si="74"/>
        <v>220814.28273972531</v>
      </c>
      <c r="BQ10" s="733">
        <f t="shared" si="8"/>
        <v>1.7910531225773629E-2</v>
      </c>
      <c r="BR10" s="379">
        <f t="shared" si="75"/>
        <v>140697.9499501916</v>
      </c>
      <c r="BS10" s="807">
        <f t="shared" si="9"/>
        <v>361512.23268991691</v>
      </c>
      <c r="BT10" s="808">
        <f t="shared" si="10"/>
        <v>0.91629899999999997</v>
      </c>
      <c r="BW10" s="1"/>
      <c r="BX10" s="280"/>
      <c r="BY10" s="10"/>
      <c r="BZ10" s="10"/>
      <c r="CA10" s="10"/>
      <c r="CB10" s="10"/>
      <c r="CC10" s="10"/>
      <c r="CD10" s="10"/>
      <c r="CE10" s="10"/>
      <c r="CI10" s="730">
        <f t="shared" si="101"/>
        <v>7</v>
      </c>
      <c r="CJ10" s="746">
        <f t="shared" si="12"/>
        <v>7</v>
      </c>
      <c r="CK10" s="732" t="s">
        <v>414</v>
      </c>
      <c r="CL10" s="733">
        <f t="shared" si="13"/>
        <v>1.7910531225773629E-2</v>
      </c>
      <c r="CM10" s="379">
        <f t="shared" si="14"/>
        <v>95897.284942732469</v>
      </c>
      <c r="CN10" s="733">
        <f t="shared" si="15"/>
        <v>2.4955204371736917E-2</v>
      </c>
      <c r="CO10" s="379">
        <f t="shared" si="16"/>
        <v>434248.70391754247</v>
      </c>
      <c r="CP10" s="379">
        <f t="shared" si="17"/>
        <v>530145.9888602749</v>
      </c>
      <c r="CQ10" s="733">
        <f t="shared" si="18"/>
        <v>2.329762311336318E-2</v>
      </c>
      <c r="CR10" s="808">
        <f t="shared" si="19"/>
        <v>1.343723</v>
      </c>
      <c r="DC10" s="2" t="s">
        <v>445</v>
      </c>
      <c r="DD10" s="912">
        <v>5448128.1456260383</v>
      </c>
      <c r="DE10" s="1"/>
      <c r="DH10" s="730">
        <v>7</v>
      </c>
      <c r="DI10" s="840">
        <f t="shared" si="20"/>
        <v>7</v>
      </c>
      <c r="DJ10" s="732" t="s">
        <v>414</v>
      </c>
      <c r="DK10" s="733">
        <f t="shared" si="21"/>
        <v>2.329762311336318E-2</v>
      </c>
      <c r="DL10" s="379">
        <f t="shared" si="77"/>
        <v>7356.2244616658454</v>
      </c>
      <c r="DM10" s="733">
        <f t="shared" si="22"/>
        <v>2.4955204371736917E-2</v>
      </c>
      <c r="DN10" s="379">
        <f t="shared" si="23"/>
        <v>48765.004384783075</v>
      </c>
      <c r="DO10" s="733">
        <f t="shared" si="24"/>
        <v>1.7910531225773629E-2</v>
      </c>
      <c r="DP10" s="379">
        <f t="shared" si="25"/>
        <v>58271.658665151728</v>
      </c>
      <c r="DQ10" s="379">
        <f t="shared" si="78"/>
        <v>114392.88751160065</v>
      </c>
      <c r="DR10" s="733">
        <f t="shared" si="26"/>
        <v>2.0710827530472303E-2</v>
      </c>
      <c r="DS10" s="808">
        <f t="shared" si="27"/>
        <v>0.28994300000000001</v>
      </c>
      <c r="DW10" s="730">
        <f t="shared" si="102"/>
        <v>7</v>
      </c>
      <c r="DX10" s="840">
        <f t="shared" si="28"/>
        <v>7</v>
      </c>
      <c r="DY10" s="732" t="s">
        <v>414</v>
      </c>
      <c r="DZ10" s="733">
        <f t="shared" si="29"/>
        <v>2.4955204371736917E-2</v>
      </c>
      <c r="EA10" s="379">
        <f t="shared" si="30"/>
        <v>89703.831645568876</v>
      </c>
      <c r="EB10" s="808">
        <f t="shared" si="31"/>
        <v>0.22736600000000001</v>
      </c>
      <c r="EH10" s="4"/>
      <c r="EI10" s="4"/>
      <c r="EJ10" s="4"/>
      <c r="EN10" s="730">
        <f t="shared" si="103"/>
        <v>7</v>
      </c>
      <c r="EO10" s="840">
        <f t="shared" si="32"/>
        <v>7</v>
      </c>
      <c r="EP10" s="732" t="s">
        <v>414</v>
      </c>
      <c r="EQ10" s="733">
        <f t="shared" si="33"/>
        <v>2.5219099894449013E-2</v>
      </c>
      <c r="ER10" s="379">
        <f t="shared" si="34"/>
        <v>180407.48011199705</v>
      </c>
      <c r="ES10" s="733">
        <f t="shared" si="35"/>
        <v>2.329762311336318E-2</v>
      </c>
      <c r="ET10" s="379">
        <f t="shared" si="36"/>
        <v>22470.637336501968</v>
      </c>
      <c r="EU10" s="733">
        <f t="shared" si="37"/>
        <v>1.7910531225773629E-2</v>
      </c>
      <c r="EV10" s="379">
        <f t="shared" si="38"/>
        <v>46281.917000533307</v>
      </c>
      <c r="EW10" s="379">
        <f t="shared" si="39"/>
        <v>249160.03444903233</v>
      </c>
      <c r="EX10" s="733">
        <f t="shared" si="40"/>
        <v>2.3281262730109688E-2</v>
      </c>
      <c r="EY10" s="808">
        <f t="shared" si="41"/>
        <v>0.63152799999999998</v>
      </c>
      <c r="FI10" s="730">
        <f t="shared" si="104"/>
        <v>7</v>
      </c>
      <c r="FJ10" s="731">
        <f t="shared" si="42"/>
        <v>7</v>
      </c>
      <c r="FK10" s="732" t="s">
        <v>414</v>
      </c>
      <c r="FL10" s="733">
        <f t="shared" si="43"/>
        <v>2.5219099894449013E-2</v>
      </c>
      <c r="FM10" s="379">
        <f t="shared" si="44"/>
        <v>473958.39593874029</v>
      </c>
      <c r="FN10" s="808">
        <f t="shared" si="45"/>
        <v>1.201308</v>
      </c>
      <c r="FR10" s="730">
        <f t="shared" si="105"/>
        <v>7</v>
      </c>
      <c r="FS10" s="731">
        <v>7</v>
      </c>
      <c r="FT10" s="732" t="s">
        <v>414</v>
      </c>
      <c r="FU10" s="379">
        <f t="shared" si="46"/>
        <v>1014274.8155216601</v>
      </c>
      <c r="FV10" s="379">
        <f t="shared" si="47"/>
        <v>361512.23268991691</v>
      </c>
      <c r="FW10" s="379">
        <f t="shared" si="48"/>
        <v>530145.9888602749</v>
      </c>
      <c r="FX10" s="379">
        <f t="shared" si="49"/>
        <v>114392.88751160065</v>
      </c>
      <c r="FY10" s="379">
        <f t="shared" si="50"/>
        <v>89703.831645568876</v>
      </c>
      <c r="FZ10" s="379">
        <f t="shared" si="51"/>
        <v>249160.03444903233</v>
      </c>
      <c r="GA10" s="379">
        <f t="shared" si="52"/>
        <v>473958.39593874029</v>
      </c>
      <c r="GB10" s="379">
        <f t="shared" si="53"/>
        <v>2833148.1866167942</v>
      </c>
      <c r="GC10" s="852">
        <f t="shared" si="54"/>
        <v>7.1809770000000004</v>
      </c>
      <c r="GG10" s="730">
        <f t="shared" si="79"/>
        <v>7</v>
      </c>
      <c r="GH10" s="731">
        <f t="shared" si="55"/>
        <v>7</v>
      </c>
      <c r="GI10" s="732" t="s">
        <v>414</v>
      </c>
      <c r="GJ10" s="808">
        <f t="shared" si="56"/>
        <v>2.5708090000000001</v>
      </c>
      <c r="GK10" s="808">
        <f t="shared" si="57"/>
        <v>0.91629899999999997</v>
      </c>
      <c r="GL10" s="808">
        <f t="shared" si="58"/>
        <v>1.343723</v>
      </c>
      <c r="GM10" s="808">
        <f t="shared" si="59"/>
        <v>0.28994300000000001</v>
      </c>
      <c r="GN10" s="808">
        <f t="shared" si="60"/>
        <v>0.22736600000000001</v>
      </c>
      <c r="GO10" s="808">
        <f t="shared" si="61"/>
        <v>0.63152799999999998</v>
      </c>
      <c r="GP10" s="808">
        <f t="shared" si="62"/>
        <v>1.201308</v>
      </c>
      <c r="GQ10" s="808">
        <f t="shared" si="63"/>
        <v>7.1809770000000004</v>
      </c>
      <c r="GR10" s="784">
        <f t="shared" si="80"/>
        <v>39453520</v>
      </c>
      <c r="GS10" s="716"/>
      <c r="GV10" s="717">
        <f t="shared" si="81"/>
        <v>7</v>
      </c>
      <c r="GW10" s="731">
        <v>7</v>
      </c>
      <c r="GX10" s="732" t="s">
        <v>414</v>
      </c>
      <c r="GY10" s="758" t="s">
        <v>397</v>
      </c>
      <c r="GZ10" s="906">
        <f t="shared" si="82"/>
        <v>2833148.1866167942</v>
      </c>
      <c r="HA10" s="784">
        <f t="shared" si="83"/>
        <v>39453520</v>
      </c>
      <c r="HB10" s="922">
        <f t="shared" si="109"/>
        <v>7.1809770000000004</v>
      </c>
      <c r="HC10" s="942">
        <f t="shared" si="85"/>
        <v>2833148.1968904003</v>
      </c>
      <c r="HD10" s="857">
        <v>-0.10420352779328823</v>
      </c>
      <c r="HE10" s="54"/>
      <c r="HH10" s="54"/>
      <c r="HI10" s="54"/>
      <c r="HJ10" s="54"/>
      <c r="HK10" s="54"/>
      <c r="HL10" s="54"/>
      <c r="HM10" s="54"/>
      <c r="HN10" s="54"/>
      <c r="HQ10" s="730">
        <v>7</v>
      </c>
      <c r="HR10" s="867">
        <v>7</v>
      </c>
      <c r="HS10" s="732" t="s">
        <v>414</v>
      </c>
      <c r="HT10" s="784">
        <f t="shared" si="86"/>
        <v>39453520</v>
      </c>
      <c r="HU10" s="917">
        <f t="shared" si="87"/>
        <v>7.1809770000000004</v>
      </c>
      <c r="HV10" s="868"/>
      <c r="HW10" s="765"/>
      <c r="HX10" s="868">
        <v>-1.6458860000000008</v>
      </c>
      <c r="HY10" s="766">
        <v>10</v>
      </c>
      <c r="IP10" s="730">
        <v>7</v>
      </c>
      <c r="IQ10" s="867">
        <v>7</v>
      </c>
      <c r="IR10" s="732" t="s">
        <v>414</v>
      </c>
      <c r="IS10" s="913">
        <f t="shared" si="106"/>
        <v>2833148.1968904003</v>
      </c>
      <c r="IT10" s="915">
        <f t="shared" si="88"/>
        <v>39453520</v>
      </c>
      <c r="IU10" s="918">
        <f t="shared" si="89"/>
        <v>7.1809770000000004</v>
      </c>
      <c r="IV10" s="904">
        <f t="shared" si="110"/>
        <v>5772393.8386702808</v>
      </c>
      <c r="IW10" s="904">
        <f t="shared" si="91"/>
        <v>33681126.161329716</v>
      </c>
      <c r="IX10" s="913">
        <f t="shared" si="111"/>
        <v>86585.907580054205</v>
      </c>
      <c r="IY10" s="881">
        <f t="shared" si="93"/>
        <v>2746562.2893103459</v>
      </c>
      <c r="IZ10" s="928">
        <f t="shared" si="112"/>
        <v>6.961513926540257</v>
      </c>
      <c r="JA10" s="928">
        <f t="shared" si="113"/>
        <v>8.4615139265402561</v>
      </c>
      <c r="JB10" s="913">
        <f t="shared" si="107"/>
        <v>2833148.1968903993</v>
      </c>
      <c r="JC10" s="852">
        <v>0.22223282916511877</v>
      </c>
      <c r="JG10" s="730">
        <v>7</v>
      </c>
      <c r="JH10" s="867">
        <v>7</v>
      </c>
      <c r="JI10" s="732" t="s">
        <v>414</v>
      </c>
      <c r="JJ10" s="784">
        <f t="shared" si="96"/>
        <v>39453520</v>
      </c>
      <c r="JK10" s="917">
        <f t="shared" si="97"/>
        <v>6.961513926540257</v>
      </c>
      <c r="JL10" s="868">
        <v>8.6649999999999991</v>
      </c>
      <c r="JM10" s="765"/>
      <c r="JN10" s="868"/>
      <c r="JO10" s="766">
        <v>10</v>
      </c>
      <c r="JT10" s="936">
        <v>13.512674926540257</v>
      </c>
      <c r="JU10" s="936">
        <f t="shared" si="64"/>
        <v>0</v>
      </c>
      <c r="JV10" s="13">
        <v>26972258</v>
      </c>
      <c r="JW10" s="13">
        <f t="shared" si="65"/>
        <v>0</v>
      </c>
    </row>
    <row r="11" spans="1:294" x14ac:dyDescent="0.3">
      <c r="B11" s="338">
        <v>8</v>
      </c>
      <c r="C11" s="767" t="s">
        <v>250</v>
      </c>
      <c r="D11" s="906">
        <f>'Actuals Phase I'!MT13</f>
        <v>18998322.143907189</v>
      </c>
      <c r="E11" s="768">
        <v>0.16902044974442379</v>
      </c>
      <c r="F11" s="769">
        <v>0.87436389205081888</v>
      </c>
      <c r="J11" s="338">
        <v>8</v>
      </c>
      <c r="K11" s="759">
        <v>8</v>
      </c>
      <c r="L11" s="518" t="s">
        <v>415</v>
      </c>
      <c r="M11" s="904">
        <v>26972258</v>
      </c>
      <c r="N11" s="943">
        <f t="shared" si="66"/>
        <v>1.2244470686991239E-2</v>
      </c>
      <c r="O11" s="455">
        <v>362.05552889365669</v>
      </c>
      <c r="P11" s="948">
        <f t="shared" si="67"/>
        <v>74497.572464698693</v>
      </c>
      <c r="Q11" s="659">
        <f t="shared" si="68"/>
        <v>4.2226396463688198E-2</v>
      </c>
      <c r="R11" s="322" t="s">
        <v>397</v>
      </c>
      <c r="V11" s="734">
        <f t="shared" si="98"/>
        <v>8</v>
      </c>
      <c r="W11" s="735">
        <f t="shared" si="0"/>
        <v>8</v>
      </c>
      <c r="X11" s="518" t="s">
        <v>415</v>
      </c>
      <c r="Y11" s="924">
        <f t="shared" si="69"/>
        <v>2777073.2907403288</v>
      </c>
      <c r="Z11" s="943">
        <f t="shared" si="70"/>
        <v>3.3191611884446338E-2</v>
      </c>
      <c r="AD11" s="734">
        <v>8</v>
      </c>
      <c r="AE11" s="146">
        <v>8</v>
      </c>
      <c r="AF11" s="347" t="s">
        <v>415</v>
      </c>
      <c r="AG11" s="369">
        <v>9.2200000000000006</v>
      </c>
      <c r="AQ11" s="734">
        <f t="shared" si="71"/>
        <v>8</v>
      </c>
      <c r="AR11" s="787">
        <f t="shared" si="1"/>
        <v>8</v>
      </c>
      <c r="AS11" s="518" t="s">
        <v>415</v>
      </c>
      <c r="AT11" s="518">
        <f t="shared" si="2"/>
        <v>9.2200000000000006</v>
      </c>
      <c r="AU11" s="788">
        <f t="shared" si="72"/>
        <v>26972258</v>
      </c>
      <c r="AV11" s="788">
        <f t="shared" si="99"/>
        <v>69078.949655555567</v>
      </c>
      <c r="AW11" s="789">
        <f t="shared" si="3"/>
        <v>71485.859614071072</v>
      </c>
      <c r="AX11" s="790">
        <f t="shared" si="4"/>
        <v>18.326441541544678</v>
      </c>
      <c r="AY11" s="358">
        <f t="shared" si="108"/>
        <v>1310081.4272643432</v>
      </c>
      <c r="AZ11" s="35">
        <f t="shared" si="73"/>
        <v>3.6307011804781353E-2</v>
      </c>
      <c r="BA11" s="55">
        <f t="shared" si="5"/>
        <v>4.8571439999999999</v>
      </c>
      <c r="BL11" s="338">
        <f t="shared" si="100"/>
        <v>8</v>
      </c>
      <c r="BM11" s="322">
        <f t="shared" si="6"/>
        <v>8</v>
      </c>
      <c r="BN11" s="518" t="s">
        <v>415</v>
      </c>
      <c r="BO11" s="659">
        <f t="shared" si="7"/>
        <v>3.6307011804781353E-2</v>
      </c>
      <c r="BP11" s="358">
        <f t="shared" si="74"/>
        <v>285213.32312015176</v>
      </c>
      <c r="BQ11" s="659">
        <f t="shared" si="8"/>
        <v>1.2244470686991239E-2</v>
      </c>
      <c r="BR11" s="358">
        <f t="shared" si="75"/>
        <v>96187.650838953152</v>
      </c>
      <c r="BS11" s="809">
        <f t="shared" si="9"/>
        <v>381400.97395910491</v>
      </c>
      <c r="BT11" s="810">
        <f t="shared" si="10"/>
        <v>1.4140489999999999</v>
      </c>
      <c r="BW11" s="1"/>
      <c r="BX11" s="10"/>
      <c r="BY11" s="10"/>
      <c r="BZ11" s="10"/>
      <c r="CA11" s="10"/>
      <c r="CB11" s="10"/>
      <c r="CC11" s="10"/>
      <c r="CD11" s="10"/>
      <c r="CE11" s="10"/>
      <c r="CI11" s="734">
        <f t="shared" si="101"/>
        <v>8</v>
      </c>
      <c r="CJ11" s="146">
        <f t="shared" si="12"/>
        <v>8</v>
      </c>
      <c r="CK11" s="518" t="s">
        <v>415</v>
      </c>
      <c r="CL11" s="344">
        <f t="shared" si="13"/>
        <v>1.2244470686991239E-2</v>
      </c>
      <c r="CM11" s="20">
        <f t="shared" si="14"/>
        <v>65559.836257319897</v>
      </c>
      <c r="CN11" s="344">
        <f t="shared" si="15"/>
        <v>4.2226396463688198E-2</v>
      </c>
      <c r="CO11" s="20">
        <f t="shared" si="16"/>
        <v>734786.92710015399</v>
      </c>
      <c r="CP11" s="20">
        <f t="shared" si="17"/>
        <v>800346.76335747389</v>
      </c>
      <c r="CQ11" s="344">
        <f t="shared" si="18"/>
        <v>3.517177842425754E-2</v>
      </c>
      <c r="CR11" s="342">
        <f t="shared" si="19"/>
        <v>2.9672960000000002</v>
      </c>
      <c r="DC11" s="2" t="s">
        <v>456</v>
      </c>
      <c r="DD11" s="5">
        <v>0.70758002106159879</v>
      </c>
      <c r="DE11" s="1"/>
      <c r="DH11" s="734">
        <v>8</v>
      </c>
      <c r="DI11" s="745">
        <f t="shared" si="20"/>
        <v>8</v>
      </c>
      <c r="DJ11" s="518" t="s">
        <v>415</v>
      </c>
      <c r="DK11" s="344">
        <f t="shared" si="21"/>
        <v>3.517177842425754E-2</v>
      </c>
      <c r="DL11" s="20">
        <f t="shared" si="77"/>
        <v>11105.488982539582</v>
      </c>
      <c r="DM11" s="344">
        <f t="shared" si="22"/>
        <v>4.2226396463688198E-2</v>
      </c>
      <c r="DN11" s="20">
        <f t="shared" si="23"/>
        <v>82514.668204339076</v>
      </c>
      <c r="DO11" s="344">
        <f t="shared" si="24"/>
        <v>1.2244470686991239E-2</v>
      </c>
      <c r="DP11" s="20">
        <f t="shared" si="25"/>
        <v>39837.211270487598</v>
      </c>
      <c r="DQ11" s="20">
        <f t="shared" si="78"/>
        <v>133457.36845736625</v>
      </c>
      <c r="DR11" s="344">
        <f t="shared" si="26"/>
        <v>2.4162451013494231E-2</v>
      </c>
      <c r="DS11" s="342">
        <f t="shared" si="27"/>
        <v>0.49479499999999998</v>
      </c>
      <c r="DW11" s="734">
        <f t="shared" si="102"/>
        <v>8</v>
      </c>
      <c r="DX11" s="745">
        <f t="shared" si="28"/>
        <v>8</v>
      </c>
      <c r="DY11" s="518" t="s">
        <v>415</v>
      </c>
      <c r="DZ11" s="344">
        <f t="shared" si="29"/>
        <v>4.2226396463688198E-2</v>
      </c>
      <c r="EA11" s="20">
        <f t="shared" si="30"/>
        <v>151786.75770204043</v>
      </c>
      <c r="EB11" s="342">
        <f t="shared" si="31"/>
        <v>0.562751</v>
      </c>
      <c r="EH11" s="4"/>
      <c r="EI11" s="4"/>
      <c r="EJ11" s="4"/>
      <c r="EN11" s="734">
        <f t="shared" si="103"/>
        <v>8</v>
      </c>
      <c r="EO11" s="745">
        <f t="shared" si="32"/>
        <v>8</v>
      </c>
      <c r="EP11" s="518" t="s">
        <v>415</v>
      </c>
      <c r="EQ11" s="344">
        <f t="shared" si="33"/>
        <v>3.3191611884446338E-2</v>
      </c>
      <c r="ER11" s="20">
        <f t="shared" si="34"/>
        <v>237439.68206598848</v>
      </c>
      <c r="ES11" s="344">
        <f t="shared" si="35"/>
        <v>3.517177842425754E-2</v>
      </c>
      <c r="ET11" s="20">
        <f t="shared" si="36"/>
        <v>33923.300827970415</v>
      </c>
      <c r="EU11" s="344">
        <f t="shared" si="37"/>
        <v>1.2244470686991239E-2</v>
      </c>
      <c r="EV11" s="20">
        <f t="shared" si="38"/>
        <v>31640.467214914421</v>
      </c>
      <c r="EW11" s="20">
        <f t="shared" si="39"/>
        <v>303003.45010887337</v>
      </c>
      <c r="EX11" s="344">
        <f t="shared" si="40"/>
        <v>2.8312337272362105E-2</v>
      </c>
      <c r="EY11" s="342">
        <f t="shared" si="41"/>
        <v>1.123389</v>
      </c>
      <c r="FI11" s="734">
        <f t="shared" si="104"/>
        <v>8</v>
      </c>
      <c r="FJ11" s="735">
        <f t="shared" si="42"/>
        <v>8</v>
      </c>
      <c r="FK11" s="518" t="s">
        <v>415</v>
      </c>
      <c r="FL11" s="344">
        <f t="shared" si="43"/>
        <v>3.3191611884446338E-2</v>
      </c>
      <c r="FM11" s="20">
        <f t="shared" si="44"/>
        <v>623790.8249388421</v>
      </c>
      <c r="FN11" s="342">
        <f t="shared" si="45"/>
        <v>2.312713</v>
      </c>
      <c r="FR11" s="734">
        <f t="shared" si="105"/>
        <v>8</v>
      </c>
      <c r="FS11" s="735">
        <v>8</v>
      </c>
      <c r="FT11" s="518" t="s">
        <v>415</v>
      </c>
      <c r="FU11" s="20">
        <f t="shared" si="46"/>
        <v>1310081.4272643432</v>
      </c>
      <c r="FV11" s="20">
        <f t="shared" si="47"/>
        <v>381400.97395910491</v>
      </c>
      <c r="FW11" s="20">
        <f t="shared" si="48"/>
        <v>800346.76335747389</v>
      </c>
      <c r="FX11" s="20">
        <f t="shared" si="49"/>
        <v>133457.36845736625</v>
      </c>
      <c r="FY11" s="20">
        <f t="shared" si="50"/>
        <v>151786.75770204043</v>
      </c>
      <c r="FZ11" s="20">
        <f t="shared" si="51"/>
        <v>303003.45010887337</v>
      </c>
      <c r="GA11" s="20">
        <f t="shared" si="52"/>
        <v>623790.8249388421</v>
      </c>
      <c r="GB11" s="20">
        <f t="shared" si="53"/>
        <v>3703867.5657880441</v>
      </c>
      <c r="GC11" s="414">
        <f t="shared" si="54"/>
        <v>13.732138000000001</v>
      </c>
      <c r="GG11" s="734">
        <f t="shared" si="79"/>
        <v>8</v>
      </c>
      <c r="GH11" s="735">
        <f t="shared" si="55"/>
        <v>8</v>
      </c>
      <c r="GI11" s="518" t="s">
        <v>415</v>
      </c>
      <c r="GJ11" s="342">
        <f t="shared" si="56"/>
        <v>4.8571439999999999</v>
      </c>
      <c r="GK11" s="342">
        <f t="shared" si="57"/>
        <v>1.4140489999999999</v>
      </c>
      <c r="GL11" s="342">
        <f t="shared" si="58"/>
        <v>2.9672960000000002</v>
      </c>
      <c r="GM11" s="342">
        <f t="shared" si="59"/>
        <v>0.49479499999999998</v>
      </c>
      <c r="GN11" s="342">
        <f t="shared" si="60"/>
        <v>0.562751</v>
      </c>
      <c r="GO11" s="342">
        <f t="shared" si="61"/>
        <v>1.123389</v>
      </c>
      <c r="GP11" s="342">
        <f t="shared" si="62"/>
        <v>2.312713</v>
      </c>
      <c r="GQ11" s="342">
        <f t="shared" si="63"/>
        <v>13.732138000000001</v>
      </c>
      <c r="GR11" s="788">
        <f t="shared" si="80"/>
        <v>26972258</v>
      </c>
      <c r="GS11" s="716"/>
      <c r="GV11" s="718">
        <f t="shared" si="81"/>
        <v>8</v>
      </c>
      <c r="GW11" s="735">
        <v>8</v>
      </c>
      <c r="GX11" s="518" t="s">
        <v>415</v>
      </c>
      <c r="GY11" s="322" t="s">
        <v>397</v>
      </c>
      <c r="GZ11" s="924">
        <f t="shared" si="82"/>
        <v>3703867.5657880441</v>
      </c>
      <c r="HA11" s="788">
        <f t="shared" si="83"/>
        <v>26972258</v>
      </c>
      <c r="HB11" s="922">
        <f t="shared" si="109"/>
        <v>13.732138000000001</v>
      </c>
      <c r="HC11" s="942">
        <f t="shared" si="85"/>
        <v>3703867.6902760402</v>
      </c>
      <c r="HD11" s="858">
        <v>7.107064500451088E-2</v>
      </c>
      <c r="HE11" s="54"/>
      <c r="HH11" s="54"/>
      <c r="HI11" s="54"/>
      <c r="HJ11" s="54"/>
      <c r="HK11" s="54"/>
      <c r="HL11" s="54"/>
      <c r="HM11" s="54"/>
      <c r="HN11" s="54"/>
      <c r="HQ11" s="734">
        <v>8</v>
      </c>
      <c r="HR11" s="869">
        <v>8</v>
      </c>
      <c r="HS11" s="518" t="s">
        <v>415</v>
      </c>
      <c r="HT11" s="788">
        <f t="shared" si="86"/>
        <v>26972258</v>
      </c>
      <c r="HU11" s="917">
        <f t="shared" si="87"/>
        <v>13.732138000000001</v>
      </c>
      <c r="HV11" s="870"/>
      <c r="HW11" s="768"/>
      <c r="HX11" s="870">
        <v>-2.8347379999999998</v>
      </c>
      <c r="HY11" s="769">
        <v>25</v>
      </c>
      <c r="IP11" s="734">
        <v>8</v>
      </c>
      <c r="IQ11" s="869">
        <v>8</v>
      </c>
      <c r="IR11" s="518" t="s">
        <v>415</v>
      </c>
      <c r="IS11" s="913">
        <f t="shared" si="106"/>
        <v>3703867.6902760402</v>
      </c>
      <c r="IT11" s="915">
        <f t="shared" si="88"/>
        <v>26972258</v>
      </c>
      <c r="IU11" s="919">
        <f t="shared" si="89"/>
        <v>13.732138000000001</v>
      </c>
      <c r="IV11" s="904">
        <f t="shared" si="110"/>
        <v>3946276.4258860857</v>
      </c>
      <c r="IW11" s="904">
        <f t="shared" si="91"/>
        <v>23025981.574113913</v>
      </c>
      <c r="IX11" s="913">
        <f t="shared" si="111"/>
        <v>59194.146388291287</v>
      </c>
      <c r="IY11" s="882">
        <f t="shared" si="93"/>
        <v>3644673.5438877488</v>
      </c>
      <c r="IZ11" s="928">
        <f t="shared" si="112"/>
        <v>13.512674926540257</v>
      </c>
      <c r="JA11" s="928">
        <f t="shared" si="113"/>
        <v>15.012674926540257</v>
      </c>
      <c r="JB11" s="913">
        <f t="shared" si="107"/>
        <v>3703867.6902760393</v>
      </c>
      <c r="JC11" s="883">
        <v>0.22223335000653854</v>
      </c>
      <c r="JG11" s="734">
        <v>8</v>
      </c>
      <c r="JH11" s="869">
        <v>8</v>
      </c>
      <c r="JI11" s="518" t="s">
        <v>415</v>
      </c>
      <c r="JJ11" s="788">
        <f t="shared" si="96"/>
        <v>26972258</v>
      </c>
      <c r="JK11" s="917">
        <f t="shared" si="97"/>
        <v>13.512674926540257</v>
      </c>
      <c r="JL11" s="870">
        <v>16.465</v>
      </c>
      <c r="JM11" s="768"/>
      <c r="JN11" s="870"/>
      <c r="JO11" s="769">
        <v>25</v>
      </c>
      <c r="JT11" s="936">
        <v>7.8380709265402579</v>
      </c>
      <c r="JU11" s="936">
        <f t="shared" si="64"/>
        <v>0</v>
      </c>
      <c r="JV11" s="13">
        <v>123957514</v>
      </c>
      <c r="JW11" s="13">
        <f t="shared" si="65"/>
        <v>0</v>
      </c>
    </row>
    <row r="12" spans="1:294" x14ac:dyDescent="0.3">
      <c r="B12" s="756">
        <v>9</v>
      </c>
      <c r="C12" s="764" t="s">
        <v>401</v>
      </c>
      <c r="D12" s="379">
        <v>-204693.58767693696</v>
      </c>
      <c r="E12" s="765">
        <v>-1.8210767238753768E-3</v>
      </c>
      <c r="F12" s="766">
        <v>-9.4206572898044259E-3</v>
      </c>
      <c r="J12" s="756">
        <v>9</v>
      </c>
      <c r="K12" s="757">
        <v>9</v>
      </c>
      <c r="L12" s="732" t="s">
        <v>416</v>
      </c>
      <c r="M12" s="904">
        <v>123957514</v>
      </c>
      <c r="N12" s="944">
        <f t="shared" si="66"/>
        <v>5.6272416888690079E-2</v>
      </c>
      <c r="O12" s="753">
        <v>872.65582457349649</v>
      </c>
      <c r="P12" s="948">
        <f t="shared" si="67"/>
        <v>142046.28045722749</v>
      </c>
      <c r="Q12" s="733">
        <f t="shared" si="68"/>
        <v>8.0514067188180993E-2</v>
      </c>
      <c r="R12" s="758" t="s">
        <v>397</v>
      </c>
      <c r="V12" s="730">
        <f t="shared" si="98"/>
        <v>9</v>
      </c>
      <c r="W12" s="731">
        <f t="shared" si="0"/>
        <v>9</v>
      </c>
      <c r="X12" s="732" t="s">
        <v>416</v>
      </c>
      <c r="Y12" s="924">
        <f t="shared" si="69"/>
        <v>7457592.0949709332</v>
      </c>
      <c r="Z12" s="944">
        <f t="shared" si="70"/>
        <v>8.913322642010732E-2</v>
      </c>
      <c r="AD12" s="730">
        <v>9</v>
      </c>
      <c r="AE12" s="746">
        <v>9</v>
      </c>
      <c r="AF12" s="747" t="s">
        <v>416</v>
      </c>
      <c r="AG12" s="748">
        <v>5.86</v>
      </c>
      <c r="AQ12" s="730">
        <f t="shared" si="71"/>
        <v>9</v>
      </c>
      <c r="AR12" s="783">
        <f t="shared" si="1"/>
        <v>9</v>
      </c>
      <c r="AS12" s="732" t="s">
        <v>416</v>
      </c>
      <c r="AT12" s="732">
        <f t="shared" si="2"/>
        <v>5.86</v>
      </c>
      <c r="AU12" s="784">
        <f t="shared" si="72"/>
        <v>123957514</v>
      </c>
      <c r="AV12" s="784">
        <f t="shared" si="99"/>
        <v>201775.2866777778</v>
      </c>
      <c r="AW12" s="785">
        <f>AV12*$AM$5/$AV$28</f>
        <v>208805.71996184849</v>
      </c>
      <c r="AX12" s="786">
        <f t="shared" si="4"/>
        <v>18.326441541544678</v>
      </c>
      <c r="AY12" s="379">
        <f t="shared" si="108"/>
        <v>3826665.8204209651</v>
      </c>
      <c r="AZ12" s="51">
        <f t="shared" si="73"/>
        <v>0.10605050817726276</v>
      </c>
      <c r="BA12" s="53">
        <f t="shared" si="5"/>
        <v>3.0870790000000001</v>
      </c>
      <c r="BL12" s="756">
        <f t="shared" si="100"/>
        <v>9</v>
      </c>
      <c r="BM12" s="758">
        <f t="shared" si="6"/>
        <v>9</v>
      </c>
      <c r="BN12" s="732" t="s">
        <v>416</v>
      </c>
      <c r="BO12" s="733">
        <f t="shared" si="7"/>
        <v>0.10605050817726276</v>
      </c>
      <c r="BP12" s="379">
        <f t="shared" si="74"/>
        <v>833090.25866553537</v>
      </c>
      <c r="BQ12" s="733">
        <f t="shared" si="8"/>
        <v>5.6272416888690079E-2</v>
      </c>
      <c r="BR12" s="379">
        <f t="shared" si="75"/>
        <v>442053.53795357607</v>
      </c>
      <c r="BS12" s="807">
        <f t="shared" si="9"/>
        <v>1275143.7966191114</v>
      </c>
      <c r="BT12" s="808">
        <f t="shared" si="10"/>
        <v>1.028694</v>
      </c>
      <c r="BW12" s="1"/>
      <c r="BX12" s="10"/>
      <c r="BY12" s="10"/>
      <c r="BZ12" s="10"/>
      <c r="CA12" s="10"/>
      <c r="CB12" s="10"/>
      <c r="CC12" s="10"/>
      <c r="CD12" s="10"/>
      <c r="CE12" s="10"/>
      <c r="CI12" s="730">
        <f t="shared" si="101"/>
        <v>9</v>
      </c>
      <c r="CJ12" s="746">
        <f t="shared" si="12"/>
        <v>9</v>
      </c>
      <c r="CK12" s="732" t="s">
        <v>416</v>
      </c>
      <c r="CL12" s="733">
        <f t="shared" si="13"/>
        <v>5.6272416888690079E-2</v>
      </c>
      <c r="CM12" s="379">
        <f t="shared" si="14"/>
        <v>301296.03241613804</v>
      </c>
      <c r="CN12" s="733">
        <f t="shared" si="15"/>
        <v>8.0514067188180993E-2</v>
      </c>
      <c r="CO12" s="379">
        <f t="shared" si="16"/>
        <v>1401035.5837115529</v>
      </c>
      <c r="CP12" s="379">
        <f t="shared" si="17"/>
        <v>1702331.616127691</v>
      </c>
      <c r="CQ12" s="733">
        <f t="shared" si="18"/>
        <v>7.4810111252125763E-2</v>
      </c>
      <c r="CR12" s="808">
        <f t="shared" si="19"/>
        <v>1.373319</v>
      </c>
      <c r="DD12" s="5">
        <v>5.716652409656231E-2</v>
      </c>
      <c r="DE12" s="1"/>
      <c r="DH12" s="730">
        <v>9</v>
      </c>
      <c r="DI12" s="840">
        <f t="shared" si="20"/>
        <v>9</v>
      </c>
      <c r="DJ12" s="732" t="s">
        <v>416</v>
      </c>
      <c r="DK12" s="733">
        <f t="shared" si="21"/>
        <v>7.4810111252125763E-2</v>
      </c>
      <c r="DL12" s="379">
        <f t="shared" si="77"/>
        <v>23621.292511044841</v>
      </c>
      <c r="DM12" s="733">
        <f t="shared" si="22"/>
        <v>8.0514067188180993E-2</v>
      </c>
      <c r="DN12" s="379">
        <f t="shared" si="23"/>
        <v>157332.66620389099</v>
      </c>
      <c r="DO12" s="733">
        <f t="shared" si="24"/>
        <v>5.6272416888690079E-2</v>
      </c>
      <c r="DP12" s="379">
        <f t="shared" si="25"/>
        <v>183081.5081845363</v>
      </c>
      <c r="DQ12" s="379">
        <f t="shared" si="78"/>
        <v>364035.46689947211</v>
      </c>
      <c r="DR12" s="733">
        <f t="shared" si="26"/>
        <v>6.5908606154952976E-2</v>
      </c>
      <c r="DS12" s="808">
        <f t="shared" si="27"/>
        <v>0.29367799999999999</v>
      </c>
      <c r="DW12" s="730">
        <f t="shared" si="102"/>
        <v>9</v>
      </c>
      <c r="DX12" s="840">
        <f t="shared" si="28"/>
        <v>9</v>
      </c>
      <c r="DY12" s="732" t="s">
        <v>416</v>
      </c>
      <c r="DZ12" s="733">
        <f t="shared" si="29"/>
        <v>8.0514067188180993E-2</v>
      </c>
      <c r="EA12" s="379">
        <f t="shared" si="30"/>
        <v>289415.39490369312</v>
      </c>
      <c r="EB12" s="808">
        <f t="shared" si="31"/>
        <v>0.23347999999999999</v>
      </c>
      <c r="EN12" s="730">
        <f t="shared" si="103"/>
        <v>9</v>
      </c>
      <c r="EO12" s="840">
        <f t="shared" si="32"/>
        <v>9</v>
      </c>
      <c r="EP12" s="732" t="s">
        <v>416</v>
      </c>
      <c r="EQ12" s="733">
        <f t="shared" si="33"/>
        <v>8.913322642010732E-2</v>
      </c>
      <c r="ER12" s="379">
        <f t="shared" si="34"/>
        <v>637623.89776024804</v>
      </c>
      <c r="ES12" s="733">
        <f t="shared" si="35"/>
        <v>7.4810111252125763E-2</v>
      </c>
      <c r="ET12" s="379">
        <f t="shared" si="36"/>
        <v>72154.608685624582</v>
      </c>
      <c r="EU12" s="733">
        <f t="shared" si="37"/>
        <v>5.6272416888690079E-2</v>
      </c>
      <c r="EV12" s="379">
        <f t="shared" si="38"/>
        <v>145411.39483981265</v>
      </c>
      <c r="EW12" s="379">
        <f t="shared" si="39"/>
        <v>855189.90128568525</v>
      </c>
      <c r="EX12" s="733">
        <f t="shared" si="40"/>
        <v>7.9908083252578518E-2</v>
      </c>
      <c r="EY12" s="808">
        <f t="shared" si="41"/>
        <v>0.68990600000000002</v>
      </c>
      <c r="FI12" s="730">
        <f t="shared" si="104"/>
        <v>9</v>
      </c>
      <c r="FJ12" s="731">
        <f t="shared" si="42"/>
        <v>9</v>
      </c>
      <c r="FK12" s="732" t="s">
        <v>416</v>
      </c>
      <c r="FL12" s="733">
        <f t="shared" si="43"/>
        <v>8.913322642010732E-2</v>
      </c>
      <c r="FM12" s="379">
        <f t="shared" si="44"/>
        <v>1675136.7493578657</v>
      </c>
      <c r="FN12" s="808">
        <f t="shared" si="45"/>
        <v>1.35138</v>
      </c>
      <c r="FR12" s="730">
        <f t="shared" si="105"/>
        <v>9</v>
      </c>
      <c r="FS12" s="731">
        <v>9</v>
      </c>
      <c r="FT12" s="732" t="s">
        <v>416</v>
      </c>
      <c r="FU12" s="379">
        <f t="shared" si="46"/>
        <v>3826665.8204209651</v>
      </c>
      <c r="FV12" s="379">
        <f t="shared" si="47"/>
        <v>1275143.7966191114</v>
      </c>
      <c r="FW12" s="379">
        <f t="shared" si="48"/>
        <v>1702331.616127691</v>
      </c>
      <c r="FX12" s="379">
        <f t="shared" si="49"/>
        <v>364035.46689947211</v>
      </c>
      <c r="FY12" s="379">
        <f t="shared" si="50"/>
        <v>289415.39490369312</v>
      </c>
      <c r="FZ12" s="379">
        <f t="shared" si="51"/>
        <v>855189.90128568525</v>
      </c>
      <c r="GA12" s="379">
        <f t="shared" si="52"/>
        <v>1675136.7493578657</v>
      </c>
      <c r="GB12" s="379">
        <f t="shared" si="53"/>
        <v>9987918.745614484</v>
      </c>
      <c r="GC12" s="852">
        <f t="shared" si="54"/>
        <v>8.0575340000000004</v>
      </c>
      <c r="GG12" s="730">
        <f t="shared" si="79"/>
        <v>9</v>
      </c>
      <c r="GH12" s="731">
        <f t="shared" si="55"/>
        <v>9</v>
      </c>
      <c r="GI12" s="732" t="s">
        <v>416</v>
      </c>
      <c r="GJ12" s="808">
        <f t="shared" si="56"/>
        <v>3.0870790000000001</v>
      </c>
      <c r="GK12" s="808">
        <f t="shared" si="57"/>
        <v>1.028694</v>
      </c>
      <c r="GL12" s="808">
        <f t="shared" si="58"/>
        <v>1.373319</v>
      </c>
      <c r="GM12" s="808">
        <f t="shared" si="59"/>
        <v>0.29367799999999999</v>
      </c>
      <c r="GN12" s="808">
        <f t="shared" si="60"/>
        <v>0.23347999999999999</v>
      </c>
      <c r="GO12" s="808">
        <f t="shared" si="61"/>
        <v>0.68990600000000002</v>
      </c>
      <c r="GP12" s="808">
        <f t="shared" si="62"/>
        <v>1.35138</v>
      </c>
      <c r="GQ12" s="808">
        <f t="shared" si="63"/>
        <v>8.0575340000000004</v>
      </c>
      <c r="GR12" s="784">
        <f t="shared" si="80"/>
        <v>123957514</v>
      </c>
      <c r="GS12" s="716"/>
      <c r="GV12" s="717">
        <f t="shared" si="81"/>
        <v>9</v>
      </c>
      <c r="GW12" s="731">
        <v>9</v>
      </c>
      <c r="GX12" s="732" t="s">
        <v>416</v>
      </c>
      <c r="GY12" s="758" t="s">
        <v>397</v>
      </c>
      <c r="GZ12" s="906">
        <f t="shared" si="82"/>
        <v>9987918.745614484</v>
      </c>
      <c r="HA12" s="784">
        <f t="shared" si="83"/>
        <v>123957514</v>
      </c>
      <c r="HB12" s="922">
        <f t="shared" si="109"/>
        <v>8.0575340000000004</v>
      </c>
      <c r="HC12" s="942">
        <f t="shared" si="85"/>
        <v>9987918.8361047599</v>
      </c>
      <c r="HD12" s="857">
        <v>-0.42028257809579372</v>
      </c>
      <c r="HE12" s="54"/>
      <c r="HH12" s="54"/>
      <c r="HI12" s="54"/>
      <c r="HJ12" s="54"/>
      <c r="HK12" s="54"/>
      <c r="HL12" s="54"/>
      <c r="HM12" s="54"/>
      <c r="HN12" s="54"/>
      <c r="HQ12" s="730">
        <v>9</v>
      </c>
      <c r="HR12" s="867">
        <v>9</v>
      </c>
      <c r="HS12" s="732" t="s">
        <v>416</v>
      </c>
      <c r="HT12" s="784">
        <f t="shared" si="86"/>
        <v>123957514</v>
      </c>
      <c r="HU12" s="917">
        <f t="shared" si="87"/>
        <v>8.0575340000000004</v>
      </c>
      <c r="HV12" s="868"/>
      <c r="HW12" s="765"/>
      <c r="HX12" s="868">
        <v>-1.9628369999999986</v>
      </c>
      <c r="HY12" s="766">
        <v>10</v>
      </c>
      <c r="IP12" s="730">
        <v>9</v>
      </c>
      <c r="IQ12" s="867">
        <v>9</v>
      </c>
      <c r="IR12" s="732" t="s">
        <v>416</v>
      </c>
      <c r="IS12" s="913">
        <f t="shared" si="106"/>
        <v>9987918.8361047599</v>
      </c>
      <c r="IT12" s="915">
        <f t="shared" si="88"/>
        <v>123957514</v>
      </c>
      <c r="IU12" s="918">
        <f t="shared" si="89"/>
        <v>8.0575340000000004</v>
      </c>
      <c r="IV12" s="904">
        <f t="shared" si="110"/>
        <v>18136064.667246044</v>
      </c>
      <c r="IW12" s="904">
        <f t="shared" si="91"/>
        <v>105821449.33275396</v>
      </c>
      <c r="IX12" s="913">
        <f t="shared" si="111"/>
        <v>272040.97000869067</v>
      </c>
      <c r="IY12" s="881">
        <f t="shared" si="93"/>
        <v>9715877.86609607</v>
      </c>
      <c r="IZ12" s="928">
        <f t="shared" si="112"/>
        <v>7.8380709265402579</v>
      </c>
      <c r="JA12" s="928">
        <f t="shared" si="113"/>
        <v>9.3380709265402579</v>
      </c>
      <c r="JB12" s="913">
        <f t="shared" si="107"/>
        <v>9987918.8361047599</v>
      </c>
      <c r="JC12" s="852">
        <v>0.22223273298532753</v>
      </c>
      <c r="JG12" s="730">
        <v>9</v>
      </c>
      <c r="JH12" s="867">
        <v>9</v>
      </c>
      <c r="JI12" s="732" t="s">
        <v>416</v>
      </c>
      <c r="JJ12" s="784">
        <f t="shared" si="96"/>
        <v>123957514</v>
      </c>
      <c r="JK12" s="917">
        <f t="shared" si="97"/>
        <v>7.8380709265402579</v>
      </c>
      <c r="JL12" s="868">
        <v>9.8640000000000008</v>
      </c>
      <c r="JM12" s="765"/>
      <c r="JN12" s="868"/>
      <c r="JO12" s="766">
        <v>10</v>
      </c>
      <c r="JT12" s="936">
        <v>15.840565926540259</v>
      </c>
      <c r="JU12" s="936">
        <f t="shared" si="64"/>
        <v>0</v>
      </c>
      <c r="JV12" s="13">
        <v>5199119</v>
      </c>
      <c r="JW12" s="13">
        <f t="shared" si="65"/>
        <v>0</v>
      </c>
    </row>
    <row r="13" spans="1:294" x14ac:dyDescent="0.3">
      <c r="B13" s="771">
        <v>10</v>
      </c>
      <c r="C13" s="772" t="s">
        <v>299</v>
      </c>
      <c r="D13" s="907">
        <f>'Actuals Phase I'!MZ25</f>
        <v>113162003.07033257</v>
      </c>
      <c r="E13" s="773">
        <v>1</v>
      </c>
      <c r="F13" s="774">
        <v>5.1731248696411978</v>
      </c>
      <c r="J13" s="338">
        <v>10</v>
      </c>
      <c r="K13" s="759">
        <v>10</v>
      </c>
      <c r="L13" s="518" t="s">
        <v>417</v>
      </c>
      <c r="M13" s="904">
        <v>5199119</v>
      </c>
      <c r="N13" s="943">
        <f t="shared" si="66"/>
        <v>2.3602199042319408E-3</v>
      </c>
      <c r="O13" s="455">
        <v>354.12272108843536</v>
      </c>
      <c r="P13" s="948">
        <f t="shared" si="67"/>
        <v>14681.687139475074</v>
      </c>
      <c r="Q13" s="659">
        <f t="shared" si="68"/>
        <v>8.321811320779313E-3</v>
      </c>
      <c r="R13" s="322" t="s">
        <v>397</v>
      </c>
      <c r="V13" s="734">
        <f t="shared" si="98"/>
        <v>10</v>
      </c>
      <c r="W13" s="735">
        <f t="shared" si="0"/>
        <v>10</v>
      </c>
      <c r="X13" s="518" t="s">
        <v>417</v>
      </c>
      <c r="Y13" s="924">
        <f t="shared" si="69"/>
        <v>627581.12049623055</v>
      </c>
      <c r="Z13" s="943">
        <f t="shared" si="70"/>
        <v>7.5008567641957095E-3</v>
      </c>
      <c r="AD13" s="734">
        <v>10</v>
      </c>
      <c r="AE13" s="146">
        <v>10</v>
      </c>
      <c r="AF13" s="347" t="s">
        <v>417</v>
      </c>
      <c r="AG13" s="369">
        <v>11.86</v>
      </c>
      <c r="AQ13" s="734">
        <f t="shared" si="71"/>
        <v>10</v>
      </c>
      <c r="AR13" s="787">
        <f t="shared" si="1"/>
        <v>10</v>
      </c>
      <c r="AS13" s="518" t="s">
        <v>417</v>
      </c>
      <c r="AT13" s="518">
        <f t="shared" si="2"/>
        <v>11.86</v>
      </c>
      <c r="AU13" s="788">
        <f t="shared" si="72"/>
        <v>5199119</v>
      </c>
      <c r="AV13" s="788">
        <f t="shared" si="99"/>
        <v>17128.208705555553</v>
      </c>
      <c r="AW13" s="789">
        <f t="shared" si="3"/>
        <v>17725.004926553363</v>
      </c>
      <c r="AX13" s="790">
        <f t="shared" si="4"/>
        <v>18.326441541544678</v>
      </c>
      <c r="AY13" s="358">
        <f t="shared" si="108"/>
        <v>324836.26661007165</v>
      </c>
      <c r="AZ13" s="35">
        <f t="shared" si="73"/>
        <v>9.0023672735063207E-3</v>
      </c>
      <c r="BA13" s="55">
        <f t="shared" si="5"/>
        <v>6.2479100000000001</v>
      </c>
      <c r="BL13" s="338">
        <f t="shared" si="100"/>
        <v>10</v>
      </c>
      <c r="BM13" s="322">
        <f t="shared" si="6"/>
        <v>10</v>
      </c>
      <c r="BN13" s="518" t="s">
        <v>417</v>
      </c>
      <c r="BO13" s="659">
        <f t="shared" si="7"/>
        <v>9.0023672735063207E-3</v>
      </c>
      <c r="BP13" s="358">
        <f t="shared" si="74"/>
        <v>70718.986729905038</v>
      </c>
      <c r="BQ13" s="659">
        <f t="shared" si="8"/>
        <v>2.3602199042319408E-3</v>
      </c>
      <c r="BR13" s="358">
        <f t="shared" si="75"/>
        <v>18540.940956525301</v>
      </c>
      <c r="BS13" s="809">
        <f t="shared" si="9"/>
        <v>89259.927686430339</v>
      </c>
      <c r="BT13" s="810">
        <f t="shared" si="10"/>
        <v>1.716828</v>
      </c>
      <c r="BW13" s="1"/>
      <c r="BX13" s="10"/>
      <c r="BY13" s="10"/>
      <c r="BZ13" s="10"/>
      <c r="CA13" s="10"/>
      <c r="CB13" s="10"/>
      <c r="CC13" s="10"/>
      <c r="CD13" s="10"/>
      <c r="CE13" s="10"/>
      <c r="CI13" s="734">
        <f t="shared" si="101"/>
        <v>10</v>
      </c>
      <c r="CJ13" s="146">
        <f t="shared" si="12"/>
        <v>10</v>
      </c>
      <c r="CK13" s="518" t="s">
        <v>417</v>
      </c>
      <c r="CL13" s="344">
        <f t="shared" si="13"/>
        <v>2.3602199042319408E-3</v>
      </c>
      <c r="CM13" s="20">
        <f t="shared" si="14"/>
        <v>12637.18411422287</v>
      </c>
      <c r="CN13" s="344">
        <f t="shared" si="15"/>
        <v>8.321811320779313E-3</v>
      </c>
      <c r="CO13" s="20">
        <f t="shared" si="16"/>
        <v>144808.90344410462</v>
      </c>
      <c r="CP13" s="20">
        <f t="shared" si="17"/>
        <v>157446.0875583275</v>
      </c>
      <c r="CQ13" s="344">
        <f t="shared" si="18"/>
        <v>6.9190745298164701E-3</v>
      </c>
      <c r="CR13" s="342">
        <f t="shared" si="19"/>
        <v>3.0283220000000002</v>
      </c>
      <c r="DD13" s="5">
        <v>0.23525345484183899</v>
      </c>
      <c r="DE13" s="1"/>
      <c r="DH13" s="734">
        <v>10</v>
      </c>
      <c r="DI13" s="745">
        <f t="shared" si="20"/>
        <v>10</v>
      </c>
      <c r="DJ13" s="518" t="s">
        <v>417</v>
      </c>
      <c r="DK13" s="344">
        <f t="shared" si="21"/>
        <v>6.9190745298164701E-3</v>
      </c>
      <c r="DL13" s="20">
        <f t="shared" si="77"/>
        <v>2184.6977719856118</v>
      </c>
      <c r="DM13" s="344">
        <f t="shared" si="22"/>
        <v>8.321811320779313E-3</v>
      </c>
      <c r="DN13" s="20">
        <f t="shared" si="23"/>
        <v>16261.664681325768</v>
      </c>
      <c r="DO13" s="344">
        <f t="shared" si="24"/>
        <v>2.3602199042319408E-3</v>
      </c>
      <c r="DP13" s="20">
        <f t="shared" si="25"/>
        <v>7678.9418973897637</v>
      </c>
      <c r="DQ13" s="20">
        <f t="shared" si="78"/>
        <v>26125.304350701143</v>
      </c>
      <c r="DR13" s="344">
        <f t="shared" si="26"/>
        <v>4.7299852670787609E-3</v>
      </c>
      <c r="DS13" s="342">
        <f t="shared" si="27"/>
        <v>0.50249500000000002</v>
      </c>
      <c r="DW13" s="734">
        <f t="shared" si="102"/>
        <v>10</v>
      </c>
      <c r="DX13" s="745">
        <f t="shared" si="28"/>
        <v>10</v>
      </c>
      <c r="DY13" s="518" t="s">
        <v>417</v>
      </c>
      <c r="DZ13" s="344">
        <f t="shared" si="29"/>
        <v>8.321811320779313E-3</v>
      </c>
      <c r="EA13" s="20">
        <f t="shared" si="30"/>
        <v>29913.534290699914</v>
      </c>
      <c r="EB13" s="342">
        <f t="shared" si="31"/>
        <v>0.57535800000000004</v>
      </c>
      <c r="EN13" s="734">
        <f t="shared" si="103"/>
        <v>10</v>
      </c>
      <c r="EO13" s="745">
        <f t="shared" si="32"/>
        <v>10</v>
      </c>
      <c r="EP13" s="518" t="s">
        <v>417</v>
      </c>
      <c r="EQ13" s="344">
        <f t="shared" si="33"/>
        <v>7.5008567641957095E-3</v>
      </c>
      <c r="ER13" s="20">
        <f t="shared" si="34"/>
        <v>53658.166753502242</v>
      </c>
      <c r="ES13" s="344">
        <f t="shared" si="35"/>
        <v>6.9190745298164701E-3</v>
      </c>
      <c r="ET13" s="20">
        <f t="shared" si="36"/>
        <v>6673.4710964808664</v>
      </c>
      <c r="EU13" s="344">
        <f t="shared" si="37"/>
        <v>2.3602199042319408E-3</v>
      </c>
      <c r="EV13" s="20">
        <f t="shared" si="38"/>
        <v>6098.9537570765724</v>
      </c>
      <c r="EW13" s="20">
        <f t="shared" si="39"/>
        <v>66430.591607059687</v>
      </c>
      <c r="EX13" s="344">
        <f t="shared" si="40"/>
        <v>6.2072075882496436E-3</v>
      </c>
      <c r="EY13" s="342">
        <f t="shared" si="41"/>
        <v>1.277728</v>
      </c>
      <c r="FI13" s="734">
        <f t="shared" si="104"/>
        <v>10</v>
      </c>
      <c r="FJ13" s="735">
        <f t="shared" si="42"/>
        <v>10</v>
      </c>
      <c r="FK13" s="518" t="s">
        <v>417</v>
      </c>
      <c r="FL13" s="344">
        <f t="shared" si="43"/>
        <v>7.5008567641957095E-3</v>
      </c>
      <c r="FM13" s="20">
        <f t="shared" si="44"/>
        <v>140968.31587978132</v>
      </c>
      <c r="FN13" s="342">
        <f t="shared" si="45"/>
        <v>2.711389</v>
      </c>
      <c r="FR13" s="734">
        <f t="shared" si="105"/>
        <v>10</v>
      </c>
      <c r="FS13" s="735">
        <v>10</v>
      </c>
      <c r="FT13" s="518" t="s">
        <v>417</v>
      </c>
      <c r="FU13" s="20">
        <f t="shared" si="46"/>
        <v>324836.26661007165</v>
      </c>
      <c r="FV13" s="20">
        <f t="shared" si="47"/>
        <v>89259.927686430339</v>
      </c>
      <c r="FW13" s="20">
        <f t="shared" si="48"/>
        <v>157446.0875583275</v>
      </c>
      <c r="FX13" s="20">
        <f t="shared" si="49"/>
        <v>26125.304350701143</v>
      </c>
      <c r="FY13" s="20">
        <f t="shared" si="50"/>
        <v>29913.534290699914</v>
      </c>
      <c r="FZ13" s="20">
        <f t="shared" si="51"/>
        <v>66430.591607059687</v>
      </c>
      <c r="GA13" s="20">
        <f t="shared" si="52"/>
        <v>140968.31587978132</v>
      </c>
      <c r="GB13" s="20">
        <f t="shared" si="53"/>
        <v>834980.02798307152</v>
      </c>
      <c r="GC13" s="414">
        <f t="shared" si="54"/>
        <v>16.060029</v>
      </c>
      <c r="GG13" s="734">
        <f t="shared" si="79"/>
        <v>10</v>
      </c>
      <c r="GH13" s="735">
        <f t="shared" si="55"/>
        <v>10</v>
      </c>
      <c r="GI13" s="518" t="s">
        <v>417</v>
      </c>
      <c r="GJ13" s="342">
        <f t="shared" si="56"/>
        <v>6.2479100000000001</v>
      </c>
      <c r="GK13" s="342">
        <f t="shared" si="57"/>
        <v>1.716828</v>
      </c>
      <c r="GL13" s="342">
        <f t="shared" si="58"/>
        <v>3.0283220000000002</v>
      </c>
      <c r="GM13" s="342">
        <f t="shared" si="59"/>
        <v>0.50249500000000002</v>
      </c>
      <c r="GN13" s="342">
        <f t="shared" si="60"/>
        <v>0.57535800000000004</v>
      </c>
      <c r="GO13" s="342">
        <f t="shared" si="61"/>
        <v>1.277728</v>
      </c>
      <c r="GP13" s="342">
        <f t="shared" si="62"/>
        <v>2.711389</v>
      </c>
      <c r="GQ13" s="342">
        <f t="shared" si="63"/>
        <v>16.060029</v>
      </c>
      <c r="GR13" s="788">
        <f t="shared" si="80"/>
        <v>5199119</v>
      </c>
      <c r="GS13" s="716"/>
      <c r="GV13" s="718">
        <f t="shared" si="81"/>
        <v>10</v>
      </c>
      <c r="GW13" s="735">
        <v>10</v>
      </c>
      <c r="GX13" s="518" t="s">
        <v>417</v>
      </c>
      <c r="GY13" s="322" t="s">
        <v>397</v>
      </c>
      <c r="GZ13" s="924">
        <f t="shared" si="82"/>
        <v>834980.02798307152</v>
      </c>
      <c r="HA13" s="788">
        <f t="shared" si="83"/>
        <v>5199119</v>
      </c>
      <c r="HB13" s="922">
        <f t="shared" si="109"/>
        <v>16.060029</v>
      </c>
      <c r="HC13" s="942">
        <f t="shared" si="85"/>
        <v>834980.01914451004</v>
      </c>
      <c r="HD13" s="858">
        <v>2.150618308223784E-2</v>
      </c>
      <c r="HE13" s="54"/>
      <c r="HH13" s="54"/>
      <c r="HI13" s="54"/>
      <c r="HJ13" s="54"/>
      <c r="HK13" s="54"/>
      <c r="HL13" s="54"/>
      <c r="HM13" s="54"/>
      <c r="HN13" s="54"/>
      <c r="HQ13" s="734">
        <v>10</v>
      </c>
      <c r="HR13" s="869">
        <v>10</v>
      </c>
      <c r="HS13" s="518" t="s">
        <v>417</v>
      </c>
      <c r="HT13" s="788">
        <f t="shared" si="86"/>
        <v>5199119</v>
      </c>
      <c r="HU13" s="917">
        <f t="shared" si="87"/>
        <v>16.060029</v>
      </c>
      <c r="HV13" s="870"/>
      <c r="HW13" s="768"/>
      <c r="HX13" s="870">
        <v>-3.6744649999999979</v>
      </c>
      <c r="HY13" s="769">
        <v>25</v>
      </c>
      <c r="IP13" s="734">
        <v>10</v>
      </c>
      <c r="IQ13" s="869">
        <v>10</v>
      </c>
      <c r="IR13" s="518" t="s">
        <v>417</v>
      </c>
      <c r="IS13" s="913">
        <f t="shared" si="106"/>
        <v>834980.01914451004</v>
      </c>
      <c r="IT13" s="915">
        <f t="shared" si="88"/>
        <v>5199119</v>
      </c>
      <c r="IU13" s="919">
        <f t="shared" si="89"/>
        <v>16.060029</v>
      </c>
      <c r="IV13" s="904">
        <f t="shared" si="110"/>
        <v>760676.4233486288</v>
      </c>
      <c r="IW13" s="904">
        <f t="shared" si="91"/>
        <v>4438442.5766513711</v>
      </c>
      <c r="IX13" s="913">
        <f t="shared" si="111"/>
        <v>11410.146350229432</v>
      </c>
      <c r="IY13" s="882">
        <f t="shared" si="93"/>
        <v>823569.87279428064</v>
      </c>
      <c r="IZ13" s="928">
        <f t="shared" si="112"/>
        <v>15.840565926540259</v>
      </c>
      <c r="JA13" s="928">
        <f t="shared" si="113"/>
        <v>17.340565926540258</v>
      </c>
      <c r="JB13" s="913">
        <f t="shared" si="107"/>
        <v>834980.01914451004</v>
      </c>
      <c r="JC13" s="883">
        <v>0.22223348250775032</v>
      </c>
      <c r="JG13" s="734">
        <v>10</v>
      </c>
      <c r="JH13" s="869">
        <v>10</v>
      </c>
      <c r="JI13" s="518" t="s">
        <v>417</v>
      </c>
      <c r="JJ13" s="788">
        <f t="shared" si="96"/>
        <v>5199119</v>
      </c>
      <c r="JK13" s="917">
        <f t="shared" si="97"/>
        <v>15.840565926540259</v>
      </c>
      <c r="JL13" s="870">
        <v>19.646999999999998</v>
      </c>
      <c r="JM13" s="768"/>
      <c r="JN13" s="870"/>
      <c r="JO13" s="769">
        <v>25</v>
      </c>
      <c r="JT13" s="936">
        <v>15.999447926540256</v>
      </c>
      <c r="JU13" s="936">
        <f t="shared" si="64"/>
        <v>0</v>
      </c>
      <c r="JV13" s="13">
        <v>53040850</v>
      </c>
      <c r="JW13" s="13">
        <f t="shared" si="65"/>
        <v>0</v>
      </c>
    </row>
    <row r="14" spans="1:294" x14ac:dyDescent="0.3">
      <c r="D14" s="13"/>
      <c r="F14" s="696"/>
      <c r="J14" s="756">
        <v>11</v>
      </c>
      <c r="K14" s="757">
        <v>11</v>
      </c>
      <c r="L14" s="732" t="s">
        <v>418</v>
      </c>
      <c r="M14" s="904">
        <v>53040850</v>
      </c>
      <c r="N14" s="944">
        <f t="shared" si="66"/>
        <v>2.4078708317193883E-2</v>
      </c>
      <c r="O14" s="753">
        <v>247.62580071362774</v>
      </c>
      <c r="P14" s="948">
        <f t="shared" si="67"/>
        <v>214197.59107145804</v>
      </c>
      <c r="Q14" s="733">
        <f t="shared" si="68"/>
        <v>0.12141056551119567</v>
      </c>
      <c r="R14" s="758" t="s">
        <v>397</v>
      </c>
      <c r="V14" s="730">
        <f t="shared" si="98"/>
        <v>11</v>
      </c>
      <c r="W14" s="731">
        <f t="shared" si="0"/>
        <v>11</v>
      </c>
      <c r="X14" s="732" t="s">
        <v>418</v>
      </c>
      <c r="Y14" s="924">
        <f t="shared" si="69"/>
        <v>6446283.414389994</v>
      </c>
      <c r="Z14" s="944">
        <f t="shared" si="70"/>
        <v>7.7046053448066115E-2</v>
      </c>
      <c r="AD14" s="730">
        <v>11</v>
      </c>
      <c r="AE14" s="746">
        <v>11</v>
      </c>
      <c r="AF14" s="747" t="s">
        <v>418</v>
      </c>
      <c r="AG14" s="748">
        <v>9.5</v>
      </c>
      <c r="AQ14" s="730">
        <f t="shared" si="71"/>
        <v>11</v>
      </c>
      <c r="AR14" s="783">
        <f t="shared" si="1"/>
        <v>11</v>
      </c>
      <c r="AS14" s="732" t="s">
        <v>418</v>
      </c>
      <c r="AT14" s="732">
        <f t="shared" si="2"/>
        <v>9.5</v>
      </c>
      <c r="AU14" s="784">
        <f t="shared" si="72"/>
        <v>53040850</v>
      </c>
      <c r="AV14" s="784">
        <f>AU14*AT14/3600</f>
        <v>139968.90972222222</v>
      </c>
      <c r="AW14" s="785">
        <f>AV14*$AM$5/$AV$28</f>
        <v>144845.83046830771</v>
      </c>
      <c r="AX14" s="786">
        <f t="shared" si="4"/>
        <v>18.326441541544678</v>
      </c>
      <c r="AY14" s="379">
        <f t="shared" si="108"/>
        <v>2654508.6446139324</v>
      </c>
      <c r="AZ14" s="51">
        <f t="shared" si="73"/>
        <v>7.3565867502711768E-2</v>
      </c>
      <c r="BA14" s="53">
        <f t="shared" si="5"/>
        <v>5.0046499999999998</v>
      </c>
      <c r="BL14" s="756">
        <f t="shared" si="100"/>
        <v>11</v>
      </c>
      <c r="BM14" s="758">
        <f t="shared" si="6"/>
        <v>11</v>
      </c>
      <c r="BN14" s="732" t="s">
        <v>418</v>
      </c>
      <c r="BO14" s="733">
        <f t="shared" si="7"/>
        <v>7.3565867502711768E-2</v>
      </c>
      <c r="BP14" s="379">
        <f t="shared" si="74"/>
        <v>577903.95010977029</v>
      </c>
      <c r="BQ14" s="733">
        <f t="shared" si="8"/>
        <v>2.4078708317193883E-2</v>
      </c>
      <c r="BR14" s="379">
        <f t="shared" si="75"/>
        <v>189152.67531555158</v>
      </c>
      <c r="BS14" s="807">
        <f t="shared" si="9"/>
        <v>767056.62542532186</v>
      </c>
      <c r="BT14" s="808">
        <f t="shared" si="10"/>
        <v>1.4461619999999999</v>
      </c>
      <c r="BW14" s="1"/>
      <c r="BX14" s="10"/>
      <c r="BY14" s="10"/>
      <c r="BZ14" s="10"/>
      <c r="CA14" s="10"/>
      <c r="CB14" s="10"/>
      <c r="CC14" s="10"/>
      <c r="CD14" s="10"/>
      <c r="CE14" s="10"/>
      <c r="CI14" s="730">
        <f t="shared" si="101"/>
        <v>11</v>
      </c>
      <c r="CJ14" s="746">
        <f t="shared" si="12"/>
        <v>11</v>
      </c>
      <c r="CK14" s="732" t="s">
        <v>418</v>
      </c>
      <c r="CL14" s="733">
        <f t="shared" si="13"/>
        <v>2.4078708317193883E-2</v>
      </c>
      <c r="CM14" s="379">
        <f t="shared" si="14"/>
        <v>128923.18622152679</v>
      </c>
      <c r="CN14" s="733">
        <f t="shared" si="15"/>
        <v>0.12141056551119567</v>
      </c>
      <c r="CO14" s="379">
        <f t="shared" si="16"/>
        <v>2112680.7831252818</v>
      </c>
      <c r="CP14" s="379">
        <f t="shared" si="17"/>
        <v>2241603.9693468087</v>
      </c>
      <c r="CQ14" s="733">
        <f t="shared" si="18"/>
        <v>9.8508798603821959E-2</v>
      </c>
      <c r="CR14" s="808">
        <f t="shared" si="19"/>
        <v>4.2261839999999999</v>
      </c>
      <c r="DE14" s="1"/>
      <c r="DH14" s="730">
        <v>11</v>
      </c>
      <c r="DI14" s="840">
        <f t="shared" si="20"/>
        <v>11</v>
      </c>
      <c r="DJ14" s="732" t="s">
        <v>418</v>
      </c>
      <c r="DK14" s="733">
        <f t="shared" si="21"/>
        <v>9.8508798603821959E-2</v>
      </c>
      <c r="DL14" s="379">
        <f t="shared" si="77"/>
        <v>31104.153005338085</v>
      </c>
      <c r="DM14" s="733">
        <f t="shared" si="22"/>
        <v>0.12141056551119567</v>
      </c>
      <c r="DN14" s="379">
        <f t="shared" si="23"/>
        <v>237248.57834535811</v>
      </c>
      <c r="DO14" s="733">
        <f t="shared" si="24"/>
        <v>2.4078708317193883E-2</v>
      </c>
      <c r="DP14" s="379">
        <f t="shared" si="25"/>
        <v>78339.735124001934</v>
      </c>
      <c r="DQ14" s="379">
        <f t="shared" si="78"/>
        <v>346692.4664746981</v>
      </c>
      <c r="DR14" s="733">
        <f t="shared" si="26"/>
        <v>6.2768656648721846E-2</v>
      </c>
      <c r="DS14" s="808">
        <f t="shared" si="27"/>
        <v>0.65363300000000002</v>
      </c>
      <c r="DW14" s="730">
        <f t="shared" si="102"/>
        <v>11</v>
      </c>
      <c r="DX14" s="840">
        <f t="shared" si="28"/>
        <v>11</v>
      </c>
      <c r="DY14" s="732" t="s">
        <v>418</v>
      </c>
      <c r="DZ14" s="733">
        <f t="shared" si="29"/>
        <v>0.12141056551119567</v>
      </c>
      <c r="EA14" s="379">
        <f t="shared" si="30"/>
        <v>436421.70852923288</v>
      </c>
      <c r="EB14" s="808">
        <f t="shared" si="31"/>
        <v>0.82280299999999995</v>
      </c>
      <c r="EN14" s="730">
        <f t="shared" si="103"/>
        <v>11</v>
      </c>
      <c r="EO14" s="840">
        <f t="shared" si="32"/>
        <v>11</v>
      </c>
      <c r="EP14" s="732" t="s">
        <v>418</v>
      </c>
      <c r="EQ14" s="733">
        <f t="shared" si="33"/>
        <v>7.7046053448066115E-2</v>
      </c>
      <c r="ER14" s="379">
        <f t="shared" si="34"/>
        <v>551157.03626675881</v>
      </c>
      <c r="ES14" s="733">
        <f t="shared" si="35"/>
        <v>9.8508798603821959E-2</v>
      </c>
      <c r="ET14" s="379">
        <f t="shared" si="36"/>
        <v>95012.073854492526</v>
      </c>
      <c r="EU14" s="733">
        <f t="shared" si="37"/>
        <v>2.4078708317193883E-2</v>
      </c>
      <c r="EV14" s="379">
        <f t="shared" si="38"/>
        <v>62220.866917267129</v>
      </c>
      <c r="EW14" s="379">
        <f t="shared" si="39"/>
        <v>708389.97703851841</v>
      </c>
      <c r="EX14" s="733">
        <f t="shared" si="40"/>
        <v>6.6191246149404956E-2</v>
      </c>
      <c r="EY14" s="808">
        <f t="shared" si="41"/>
        <v>1.335555</v>
      </c>
      <c r="FI14" s="730">
        <f t="shared" si="104"/>
        <v>11</v>
      </c>
      <c r="FJ14" s="731">
        <f t="shared" si="42"/>
        <v>11</v>
      </c>
      <c r="FK14" s="732" t="s">
        <v>418</v>
      </c>
      <c r="FL14" s="733">
        <f t="shared" si="43"/>
        <v>7.7046053448066115E-2</v>
      </c>
      <c r="FM14" s="379">
        <f t="shared" si="44"/>
        <v>1447974.9102264175</v>
      </c>
      <c r="FN14" s="808">
        <f t="shared" si="45"/>
        <v>2.729924</v>
      </c>
      <c r="FR14" s="730">
        <f t="shared" si="105"/>
        <v>11</v>
      </c>
      <c r="FS14" s="731">
        <v>11</v>
      </c>
      <c r="FT14" s="732" t="s">
        <v>418</v>
      </c>
      <c r="FU14" s="379">
        <f t="shared" si="46"/>
        <v>2654508.6446139324</v>
      </c>
      <c r="FV14" s="379">
        <f t="shared" si="47"/>
        <v>767056.62542532186</v>
      </c>
      <c r="FW14" s="379">
        <f t="shared" si="48"/>
        <v>2241603.9693468087</v>
      </c>
      <c r="FX14" s="379">
        <f t="shared" si="49"/>
        <v>346692.4664746981</v>
      </c>
      <c r="FY14" s="379">
        <f t="shared" si="50"/>
        <v>436421.70852923288</v>
      </c>
      <c r="FZ14" s="379">
        <f t="shared" si="51"/>
        <v>708389.97703851841</v>
      </c>
      <c r="GA14" s="379">
        <f t="shared" si="52"/>
        <v>1447974.9102264175</v>
      </c>
      <c r="GB14" s="379">
        <f t="shared" si="53"/>
        <v>8602648.3016549293</v>
      </c>
      <c r="GC14" s="852">
        <f t="shared" si="54"/>
        <v>16.218910999999999</v>
      </c>
      <c r="GG14" s="730">
        <f t="shared" si="79"/>
        <v>11</v>
      </c>
      <c r="GH14" s="731">
        <f t="shared" si="55"/>
        <v>11</v>
      </c>
      <c r="GI14" s="732" t="s">
        <v>418</v>
      </c>
      <c r="GJ14" s="808">
        <f t="shared" si="56"/>
        <v>5.0046499999999998</v>
      </c>
      <c r="GK14" s="808">
        <f t="shared" si="57"/>
        <v>1.4461619999999999</v>
      </c>
      <c r="GL14" s="808">
        <f t="shared" si="58"/>
        <v>4.2261839999999999</v>
      </c>
      <c r="GM14" s="808">
        <f t="shared" si="59"/>
        <v>0.65363300000000002</v>
      </c>
      <c r="GN14" s="808">
        <f t="shared" si="60"/>
        <v>0.82280299999999995</v>
      </c>
      <c r="GO14" s="808">
        <f t="shared" si="61"/>
        <v>1.335555</v>
      </c>
      <c r="GP14" s="808">
        <f t="shared" si="62"/>
        <v>2.729924</v>
      </c>
      <c r="GQ14" s="808">
        <f t="shared" si="63"/>
        <v>16.218910999999999</v>
      </c>
      <c r="GR14" s="784">
        <f t="shared" si="80"/>
        <v>53040850</v>
      </c>
      <c r="GS14" s="716"/>
      <c r="GV14" s="717">
        <f t="shared" si="81"/>
        <v>11</v>
      </c>
      <c r="GW14" s="731">
        <v>11</v>
      </c>
      <c r="GX14" s="732" t="s">
        <v>418</v>
      </c>
      <c r="GY14" s="758" t="s">
        <v>397</v>
      </c>
      <c r="GZ14" s="906">
        <f t="shared" si="82"/>
        <v>8602648.3016549293</v>
      </c>
      <c r="HA14" s="784">
        <f t="shared" si="83"/>
        <v>53040850</v>
      </c>
      <c r="HB14" s="922">
        <f t="shared" si="109"/>
        <v>16.218910999999999</v>
      </c>
      <c r="HC14" s="942">
        <f t="shared" si="85"/>
        <v>8602648.255143499</v>
      </c>
      <c r="HD14" s="857">
        <v>0.22434761747717857</v>
      </c>
      <c r="HE14" s="54"/>
      <c r="HH14" s="54"/>
      <c r="HI14" s="54"/>
      <c r="HJ14" s="54"/>
      <c r="HK14" s="54"/>
      <c r="HL14" s="54"/>
      <c r="HM14" s="54"/>
      <c r="HN14" s="54"/>
      <c r="HQ14" s="730">
        <v>11</v>
      </c>
      <c r="HR14" s="867">
        <v>11</v>
      </c>
      <c r="HS14" s="732" t="s">
        <v>418</v>
      </c>
      <c r="HT14" s="784">
        <f t="shared" si="86"/>
        <v>53040850</v>
      </c>
      <c r="HU14" s="917">
        <f t="shared" si="87"/>
        <v>16.218910999999999</v>
      </c>
      <c r="HV14" s="868"/>
      <c r="HW14" s="765"/>
      <c r="HX14" s="868">
        <v>-2.816278999999998</v>
      </c>
      <c r="HY14" s="766">
        <v>25</v>
      </c>
      <c r="IP14" s="730">
        <v>11</v>
      </c>
      <c r="IQ14" s="867">
        <v>11</v>
      </c>
      <c r="IR14" s="732" t="s">
        <v>418</v>
      </c>
      <c r="IS14" s="913">
        <f t="shared" si="106"/>
        <v>8602648.255143499</v>
      </c>
      <c r="IT14" s="915">
        <f t="shared" si="88"/>
        <v>53040850</v>
      </c>
      <c r="IU14" s="918">
        <f t="shared" si="89"/>
        <v>16.218910999999999</v>
      </c>
      <c r="IV14" s="904">
        <f t="shared" si="110"/>
        <v>7760338.6399447909</v>
      </c>
      <c r="IW14" s="904">
        <f t="shared" si="91"/>
        <v>45280511.360055208</v>
      </c>
      <c r="IX14" s="913">
        <f t="shared" si="111"/>
        <v>116405.07959917186</v>
      </c>
      <c r="IY14" s="881">
        <f t="shared" si="93"/>
        <v>8486243.1755443271</v>
      </c>
      <c r="IZ14" s="928">
        <f t="shared" si="112"/>
        <v>15.999447926540256</v>
      </c>
      <c r="JA14" s="928">
        <f t="shared" si="113"/>
        <v>17.499447926540256</v>
      </c>
      <c r="JB14" s="913">
        <f t="shared" si="107"/>
        <v>8602648.255143499</v>
      </c>
      <c r="JC14" s="852">
        <v>0.22223353508375254</v>
      </c>
      <c r="JG14" s="730">
        <v>11</v>
      </c>
      <c r="JH14" s="867">
        <v>11</v>
      </c>
      <c r="JI14" s="732" t="s">
        <v>418</v>
      </c>
      <c r="JJ14" s="784">
        <f t="shared" si="96"/>
        <v>53040850</v>
      </c>
      <c r="JK14" s="917">
        <f t="shared" si="97"/>
        <v>15.999447926540256</v>
      </c>
      <c r="JL14" s="868">
        <v>18.966000000000001</v>
      </c>
      <c r="JM14" s="765"/>
      <c r="JN14" s="868"/>
      <c r="JO14" s="766">
        <v>25</v>
      </c>
      <c r="JT14" s="936">
        <v>6.4202430000000001</v>
      </c>
      <c r="JU14" s="936">
        <f t="shared" si="64"/>
        <v>0</v>
      </c>
      <c r="JV14" s="13">
        <v>29240088</v>
      </c>
      <c r="JW14" s="13">
        <f t="shared" si="65"/>
        <v>0</v>
      </c>
    </row>
    <row r="15" spans="1:294" x14ac:dyDescent="0.3">
      <c r="J15" s="338">
        <v>12</v>
      </c>
      <c r="K15" s="759">
        <v>12</v>
      </c>
      <c r="L15" s="518" t="s">
        <v>419</v>
      </c>
      <c r="M15" s="904">
        <v>29240088</v>
      </c>
      <c r="N15" s="943">
        <f t="shared" si="66"/>
        <v>1.3273986938766649E-2</v>
      </c>
      <c r="O15" s="455">
        <v>1630.8000000000002</v>
      </c>
      <c r="P15" s="948">
        <f t="shared" si="67"/>
        <v>17929.904341427518</v>
      </c>
      <c r="Q15" s="659">
        <f t="shared" si="68"/>
        <v>1.0162951949016704E-2</v>
      </c>
      <c r="R15" s="322" t="s">
        <v>402</v>
      </c>
      <c r="V15" s="734">
        <f t="shared" si="98"/>
        <v>12</v>
      </c>
      <c r="W15" s="735">
        <f t="shared" si="0"/>
        <v>12</v>
      </c>
      <c r="X15" s="518" t="s">
        <v>419</v>
      </c>
      <c r="Y15" s="924">
        <f t="shared" si="69"/>
        <v>1398706.4934687014</v>
      </c>
      <c r="Z15" s="943">
        <f t="shared" si="70"/>
        <v>1.6717356083566549E-2</v>
      </c>
      <c r="AD15" s="734">
        <v>12</v>
      </c>
      <c r="AE15" s="146">
        <v>12</v>
      </c>
      <c r="AF15" s="347" t="s">
        <v>419</v>
      </c>
      <c r="AG15" s="369">
        <v>5.03</v>
      </c>
      <c r="AQ15" s="734">
        <f t="shared" si="71"/>
        <v>12</v>
      </c>
      <c r="AR15" s="787">
        <f t="shared" si="1"/>
        <v>12</v>
      </c>
      <c r="AS15" s="518" t="s">
        <v>419</v>
      </c>
      <c r="AT15" s="518">
        <f t="shared" si="2"/>
        <v>5.03</v>
      </c>
      <c r="AU15" s="788">
        <f t="shared" si="72"/>
        <v>29240088</v>
      </c>
      <c r="AV15" s="788">
        <f t="shared" si="99"/>
        <v>40854.900733333336</v>
      </c>
      <c r="AW15" s="789">
        <f t="shared" si="3"/>
        <v>42278.40337660657</v>
      </c>
      <c r="AX15" s="790">
        <f t="shared" si="4"/>
        <v>18.326441541544678</v>
      </c>
      <c r="AY15" s="358">
        <f t="shared" si="108"/>
        <v>774812.68795122544</v>
      </c>
      <c r="AZ15" s="35">
        <f t="shared" si="73"/>
        <v>2.147281292788171E-2</v>
      </c>
      <c r="BA15" s="55">
        <f t="shared" si="5"/>
        <v>2.6498300000000001</v>
      </c>
      <c r="BL15" s="338">
        <f t="shared" si="100"/>
        <v>12</v>
      </c>
      <c r="BM15" s="322">
        <f t="shared" si="6"/>
        <v>12</v>
      </c>
      <c r="BN15" s="518" t="s">
        <v>419</v>
      </c>
      <c r="BO15" s="659">
        <f t="shared" si="7"/>
        <v>2.147281292788171E-2</v>
      </c>
      <c r="BP15" s="358">
        <f t="shared" si="74"/>
        <v>168681.80628106583</v>
      </c>
      <c r="BQ15" s="659">
        <f t="shared" si="8"/>
        <v>1.3273986938766649E-2</v>
      </c>
      <c r="BR15" s="358">
        <f t="shared" si="75"/>
        <v>104275.11760581052</v>
      </c>
      <c r="BS15" s="809">
        <f t="shared" si="9"/>
        <v>272956.92388687632</v>
      </c>
      <c r="BT15" s="810">
        <f t="shared" si="10"/>
        <v>0.93350200000000005</v>
      </c>
      <c r="BW15" s="1"/>
      <c r="BX15" s="10"/>
      <c r="BY15" s="10"/>
      <c r="BZ15" s="10"/>
      <c r="CA15" s="10"/>
      <c r="CB15" s="10"/>
      <c r="CC15" s="10"/>
      <c r="CD15" s="10"/>
      <c r="CE15" s="10"/>
      <c r="CI15" s="734">
        <f t="shared" si="101"/>
        <v>12</v>
      </c>
      <c r="CJ15" s="146">
        <f t="shared" si="12"/>
        <v>12</v>
      </c>
      <c r="CK15" s="518" t="s">
        <v>419</v>
      </c>
      <c r="CL15" s="344">
        <f t="shared" si="13"/>
        <v>1.3273986938766649E-2</v>
      </c>
      <c r="CM15" s="20">
        <f t="shared" si="14"/>
        <v>71072.113481549241</v>
      </c>
      <c r="CN15" s="344">
        <f t="shared" si="15"/>
        <v>1.0162951949016704E-2</v>
      </c>
      <c r="CO15" s="20">
        <f t="shared" si="16"/>
        <v>176846.82706245445</v>
      </c>
      <c r="CP15" s="20">
        <f t="shared" si="17"/>
        <v>247918.94054400368</v>
      </c>
      <c r="CQ15" s="344">
        <f t="shared" si="18"/>
        <v>1.0894965086646714E-2</v>
      </c>
      <c r="CR15" s="342">
        <f t="shared" si="19"/>
        <v>0.84787299999999999</v>
      </c>
      <c r="DE15" s="1"/>
      <c r="DH15" s="734">
        <v>12</v>
      </c>
      <c r="DI15" s="745">
        <f t="shared" si="20"/>
        <v>12</v>
      </c>
      <c r="DJ15" s="518" t="s">
        <v>419</v>
      </c>
      <c r="DK15" s="344">
        <f t="shared" si="21"/>
        <v>1.0894965086646714E-2</v>
      </c>
      <c r="DL15" s="20">
        <f t="shared" si="77"/>
        <v>3440.0852090965204</v>
      </c>
      <c r="DM15" s="344">
        <f t="shared" si="22"/>
        <v>1.0162951949016704E-2</v>
      </c>
      <c r="DN15" s="20">
        <f t="shared" si="23"/>
        <v>19859.440498809468</v>
      </c>
      <c r="DO15" s="344">
        <f t="shared" si="24"/>
        <v>1.3273986938766649E-2</v>
      </c>
      <c r="DP15" s="20">
        <f t="shared" si="25"/>
        <v>43186.727756484062</v>
      </c>
      <c r="DQ15" s="20">
        <f t="shared" si="78"/>
        <v>66486.253464390058</v>
      </c>
      <c r="DR15" s="344">
        <f t="shared" si="26"/>
        <v>1.2037333426945868E-2</v>
      </c>
      <c r="DS15" s="342">
        <f t="shared" si="27"/>
        <v>0.22738</v>
      </c>
      <c r="DW15" s="734">
        <f t="shared" si="102"/>
        <v>12</v>
      </c>
      <c r="DX15" s="745">
        <f t="shared" si="28"/>
        <v>12</v>
      </c>
      <c r="DY15" s="518" t="s">
        <v>419</v>
      </c>
      <c r="DZ15" s="344">
        <f t="shared" si="29"/>
        <v>1.0162951949016704E-2</v>
      </c>
      <c r="EA15" s="20">
        <f t="shared" si="30"/>
        <v>36531.687622205915</v>
      </c>
      <c r="EB15" s="342">
        <f t="shared" si="31"/>
        <v>0.12493700000000001</v>
      </c>
      <c r="EN15" s="734">
        <f t="shared" si="103"/>
        <v>12</v>
      </c>
      <c r="EO15" s="745">
        <f t="shared" si="32"/>
        <v>12</v>
      </c>
      <c r="EP15" s="518" t="s">
        <v>419</v>
      </c>
      <c r="EQ15" s="344">
        <f t="shared" si="33"/>
        <v>1.6717356083566549E-2</v>
      </c>
      <c r="ER15" s="20">
        <f t="shared" si="34"/>
        <v>119589.36273673447</v>
      </c>
      <c r="ES15" s="344">
        <f t="shared" si="35"/>
        <v>1.0894965086646714E-2</v>
      </c>
      <c r="ET15" s="20">
        <f t="shared" si="36"/>
        <v>10508.231164382843</v>
      </c>
      <c r="EU15" s="344">
        <f t="shared" si="37"/>
        <v>1.3273986938766649E-2</v>
      </c>
      <c r="EV15" s="20">
        <f t="shared" si="38"/>
        <v>34300.800686587405</v>
      </c>
      <c r="EW15" s="20">
        <f t="shared" si="39"/>
        <v>164398.39458770474</v>
      </c>
      <c r="EX15" s="344">
        <f t="shared" si="40"/>
        <v>1.5361220451217758E-2</v>
      </c>
      <c r="EY15" s="342">
        <f t="shared" si="41"/>
        <v>0.56223599999999996</v>
      </c>
      <c r="FI15" s="734">
        <f t="shared" si="104"/>
        <v>12</v>
      </c>
      <c r="FJ15" s="735">
        <f t="shared" si="42"/>
        <v>12</v>
      </c>
      <c r="FK15" s="518" t="s">
        <v>419</v>
      </c>
      <c r="FL15" s="344">
        <f t="shared" si="43"/>
        <v>1.6717356083566549E-2</v>
      </c>
      <c r="FM15" s="20">
        <f t="shared" si="44"/>
        <v>314179.7806767858</v>
      </c>
      <c r="FN15" s="342">
        <f t="shared" si="45"/>
        <v>1.0744830000000001</v>
      </c>
      <c r="FR15" s="734">
        <f t="shared" si="105"/>
        <v>12</v>
      </c>
      <c r="FS15" s="735">
        <v>12</v>
      </c>
      <c r="FT15" s="518" t="s">
        <v>419</v>
      </c>
      <c r="FU15" s="20">
        <f t="shared" si="46"/>
        <v>774812.68795122544</v>
      </c>
      <c r="FV15" s="20">
        <f t="shared" si="47"/>
        <v>272956.92388687632</v>
      </c>
      <c r="FW15" s="20">
        <f t="shared" si="48"/>
        <v>247918.94054400368</v>
      </c>
      <c r="FX15" s="20">
        <f t="shared" si="49"/>
        <v>66486.253464390058</v>
      </c>
      <c r="FY15" s="20">
        <f t="shared" si="50"/>
        <v>36531.687622205915</v>
      </c>
      <c r="FZ15" s="20">
        <f t="shared" si="51"/>
        <v>164398.39458770474</v>
      </c>
      <c r="GA15" s="20">
        <f t="shared" si="52"/>
        <v>314179.7806767858</v>
      </c>
      <c r="GB15" s="20">
        <f t="shared" si="53"/>
        <v>1877284.6687331919</v>
      </c>
      <c r="GC15" s="414">
        <f t="shared" si="54"/>
        <v>6.4202430000000001</v>
      </c>
      <c r="GG15" s="734">
        <f t="shared" si="79"/>
        <v>12</v>
      </c>
      <c r="GH15" s="735">
        <f t="shared" si="55"/>
        <v>12</v>
      </c>
      <c r="GI15" s="518" t="s">
        <v>419</v>
      </c>
      <c r="GJ15" s="342">
        <f t="shared" si="56"/>
        <v>2.6498300000000001</v>
      </c>
      <c r="GK15" s="342">
        <f t="shared" si="57"/>
        <v>0.93350200000000005</v>
      </c>
      <c r="GL15" s="342">
        <f t="shared" si="58"/>
        <v>0.84787299999999999</v>
      </c>
      <c r="GM15" s="342">
        <f t="shared" si="59"/>
        <v>0.22738</v>
      </c>
      <c r="GN15" s="342">
        <f t="shared" si="60"/>
        <v>0.12493700000000001</v>
      </c>
      <c r="GO15" s="342">
        <f t="shared" si="61"/>
        <v>0.56223599999999996</v>
      </c>
      <c r="GP15" s="342">
        <f t="shared" si="62"/>
        <v>1.0744830000000001</v>
      </c>
      <c r="GQ15" s="342">
        <f t="shared" si="63"/>
        <v>6.4202430000000001</v>
      </c>
      <c r="GR15" s="788">
        <f t="shared" si="80"/>
        <v>29240088</v>
      </c>
      <c r="GS15" s="716"/>
      <c r="GV15" s="718">
        <f t="shared" si="81"/>
        <v>12</v>
      </c>
      <c r="GW15" s="735">
        <v>12</v>
      </c>
      <c r="GX15" s="518" t="s">
        <v>419</v>
      </c>
      <c r="GY15" s="322" t="s">
        <v>402</v>
      </c>
      <c r="GZ15" s="924">
        <f t="shared" si="82"/>
        <v>1877284.6687331919</v>
      </c>
      <c r="HA15" s="788">
        <f t="shared" si="83"/>
        <v>29240088</v>
      </c>
      <c r="HB15" s="922">
        <f t="shared" si="109"/>
        <v>6.4202430000000001</v>
      </c>
      <c r="HC15" s="942">
        <f t="shared" si="85"/>
        <v>1877284.7030138401</v>
      </c>
      <c r="HD15" s="858">
        <v>0.12119537964463234</v>
      </c>
      <c r="HE15" s="54"/>
      <c r="HH15" s="54"/>
      <c r="HI15" s="54"/>
      <c r="HJ15" s="54"/>
      <c r="HK15" s="54"/>
      <c r="HL15" s="54"/>
      <c r="HM15" s="54"/>
      <c r="HN15" s="54"/>
      <c r="HQ15" s="734">
        <v>12</v>
      </c>
      <c r="HR15" s="869">
        <v>12</v>
      </c>
      <c r="HS15" s="518" t="s">
        <v>419</v>
      </c>
      <c r="HT15" s="788">
        <f t="shared" si="86"/>
        <v>29240088</v>
      </c>
      <c r="HU15" s="917">
        <f t="shared" si="87"/>
        <v>6.4202430000000001</v>
      </c>
      <c r="HV15" s="870"/>
      <c r="HW15" s="768"/>
      <c r="HX15" s="870">
        <v>-1.7861609999999999</v>
      </c>
      <c r="HY15" s="769">
        <v>10</v>
      </c>
      <c r="IP15" s="734">
        <v>12</v>
      </c>
      <c r="IQ15" s="869">
        <v>12</v>
      </c>
      <c r="IR15" s="518" t="s">
        <v>419</v>
      </c>
      <c r="IS15" s="913">
        <f t="shared" si="106"/>
        <v>1877284.7030138401</v>
      </c>
      <c r="IT15" s="915">
        <f t="shared" si="88"/>
        <v>29240088</v>
      </c>
      <c r="IU15" s="919">
        <f t="shared" si="89"/>
        <v>6.4202430000000001</v>
      </c>
      <c r="IV15" s="904">
        <v>0</v>
      </c>
      <c r="IW15" s="904">
        <f t="shared" si="91"/>
        <v>29240088</v>
      </c>
      <c r="IX15" s="913">
        <v>0</v>
      </c>
      <c r="IY15" s="882">
        <f t="shared" si="93"/>
        <v>1877284.7030138401</v>
      </c>
      <c r="IZ15" s="928">
        <f>IU15</f>
        <v>6.4202430000000001</v>
      </c>
      <c r="JA15" s="929">
        <f>IZ15</f>
        <v>6.4202430000000001</v>
      </c>
      <c r="JB15" s="913">
        <f t="shared" si="107"/>
        <v>1877284.7030138401</v>
      </c>
      <c r="JC15" s="883">
        <v>0</v>
      </c>
      <c r="JG15" s="734">
        <v>12</v>
      </c>
      <c r="JH15" s="869">
        <v>12</v>
      </c>
      <c r="JI15" s="518" t="s">
        <v>419</v>
      </c>
      <c r="JJ15" s="788">
        <f t="shared" si="96"/>
        <v>29240088</v>
      </c>
      <c r="JK15" s="917">
        <f t="shared" si="97"/>
        <v>6.4202430000000001</v>
      </c>
      <c r="JL15" s="870">
        <v>8.2569999999999997</v>
      </c>
      <c r="JM15" s="768"/>
      <c r="JN15" s="870"/>
      <c r="JO15" s="769">
        <v>10</v>
      </c>
      <c r="JT15" s="936">
        <v>109.12596292654027</v>
      </c>
      <c r="JU15" s="936">
        <f t="shared" si="64"/>
        <v>0</v>
      </c>
      <c r="JV15" s="13">
        <v>1174</v>
      </c>
      <c r="JW15" s="13">
        <f t="shared" si="65"/>
        <v>0</v>
      </c>
    </row>
    <row r="16" spans="1:294" x14ac:dyDescent="0.3">
      <c r="F16" s="5"/>
      <c r="J16" s="756">
        <v>13</v>
      </c>
      <c r="K16" s="757">
        <v>13</v>
      </c>
      <c r="L16" s="732" t="s">
        <v>420</v>
      </c>
      <c r="M16" s="904">
        <v>1174</v>
      </c>
      <c r="N16" s="944">
        <f t="shared" si="66"/>
        <v>5.3295532715606208E-7</v>
      </c>
      <c r="O16" s="753">
        <v>38.909090909090907</v>
      </c>
      <c r="P16" s="948">
        <f t="shared" si="67"/>
        <v>30.172897196261683</v>
      </c>
      <c r="Q16" s="733">
        <f t="shared" si="68"/>
        <v>1.7102472970796351E-5</v>
      </c>
      <c r="R16" s="758" t="s">
        <v>397</v>
      </c>
      <c r="V16" s="730">
        <f>+V15+1</f>
        <v>13</v>
      </c>
      <c r="W16" s="731">
        <f t="shared" si="0"/>
        <v>13</v>
      </c>
      <c r="X16" s="732" t="s">
        <v>420</v>
      </c>
      <c r="Y16" s="924">
        <f t="shared" si="69"/>
        <v>969.07266438386057</v>
      </c>
      <c r="Z16" s="944">
        <f t="shared" si="70"/>
        <v>1.1582367621086681E-5</v>
      </c>
      <c r="AD16" s="730">
        <v>13</v>
      </c>
      <c r="AE16" s="746">
        <v>13</v>
      </c>
      <c r="AF16" s="747" t="s">
        <v>420</v>
      </c>
      <c r="AG16" s="748">
        <v>74.84</v>
      </c>
      <c r="AQ16" s="730">
        <f t="shared" si="71"/>
        <v>13</v>
      </c>
      <c r="AR16" s="783">
        <f t="shared" si="1"/>
        <v>13</v>
      </c>
      <c r="AS16" s="732" t="s">
        <v>420</v>
      </c>
      <c r="AT16" s="732">
        <f t="shared" si="2"/>
        <v>74.84</v>
      </c>
      <c r="AU16" s="784">
        <f t="shared" si="72"/>
        <v>1174</v>
      </c>
      <c r="AV16" s="784">
        <f t="shared" si="99"/>
        <v>24.406155555555557</v>
      </c>
      <c r="AW16" s="785">
        <f t="shared" si="3"/>
        <v>25.256536447978704</v>
      </c>
      <c r="AX16" s="786">
        <f t="shared" si="4"/>
        <v>18.326441541544678</v>
      </c>
      <c r="AY16" s="379">
        <f>AW16*AX16</f>
        <v>462.86243875577418</v>
      </c>
      <c r="AZ16" s="51">
        <f t="shared" si="73"/>
        <v>1.2827562988193482E-5</v>
      </c>
      <c r="BA16" s="53">
        <f t="shared" si="5"/>
        <v>39.426102</v>
      </c>
      <c r="BL16" s="756">
        <f t="shared" si="100"/>
        <v>13</v>
      </c>
      <c r="BM16" s="758">
        <f t="shared" si="6"/>
        <v>13</v>
      </c>
      <c r="BN16" s="732" t="s">
        <v>420</v>
      </c>
      <c r="BO16" s="733">
        <f t="shared" si="7"/>
        <v>1.2827562988193482E-5</v>
      </c>
      <c r="BP16" s="379">
        <f t="shared" si="74"/>
        <v>100.76819009693105</v>
      </c>
      <c r="BQ16" s="733">
        <f t="shared" si="8"/>
        <v>5.3295532715606208E-7</v>
      </c>
      <c r="BR16" s="379">
        <f t="shared" si="75"/>
        <v>4.1866832982589361</v>
      </c>
      <c r="BS16" s="807">
        <f t="shared" si="9"/>
        <v>104.95487339518999</v>
      </c>
      <c r="BT16" s="808">
        <f t="shared" si="10"/>
        <v>8.9399379999999997</v>
      </c>
      <c r="BW16" s="1"/>
      <c r="BX16" s="10"/>
      <c r="BY16" s="10"/>
      <c r="BZ16" s="10"/>
      <c r="CA16" s="10"/>
      <c r="CB16" s="10"/>
      <c r="CC16" s="10"/>
      <c r="CD16" s="10"/>
      <c r="CE16" s="10"/>
      <c r="CI16" s="730">
        <f t="shared" si="101"/>
        <v>13</v>
      </c>
      <c r="CJ16" s="746">
        <f t="shared" si="12"/>
        <v>13</v>
      </c>
      <c r="CK16" s="732" t="s">
        <v>420</v>
      </c>
      <c r="CL16" s="733">
        <f t="shared" si="13"/>
        <v>5.3295532715606208E-7</v>
      </c>
      <c r="CM16" s="379">
        <f t="shared" si="14"/>
        <v>2.8535707973019369</v>
      </c>
      <c r="CN16" s="733">
        <f t="shared" si="15"/>
        <v>1.7102472970796351E-5</v>
      </c>
      <c r="CO16" s="379">
        <f t="shared" si="16"/>
        <v>297.60232017030791</v>
      </c>
      <c r="CP16" s="379">
        <f t="shared" si="17"/>
        <v>300.45589096760983</v>
      </c>
      <c r="CQ16" s="733">
        <f t="shared" si="18"/>
        <v>1.3203736814083503E-5</v>
      </c>
      <c r="CR16" s="808">
        <f t="shared" si="19"/>
        <v>25.592495</v>
      </c>
      <c r="DE16" s="1"/>
      <c r="DH16" s="730">
        <v>13</v>
      </c>
      <c r="DI16" s="840">
        <f t="shared" si="20"/>
        <v>13</v>
      </c>
      <c r="DJ16" s="732" t="s">
        <v>420</v>
      </c>
      <c r="DK16" s="733">
        <f t="shared" si="21"/>
        <v>1.3203736814083503E-5</v>
      </c>
      <c r="DL16" s="379">
        <f t="shared" si="77"/>
        <v>4.1690798784296055</v>
      </c>
      <c r="DM16" s="733">
        <f t="shared" si="22"/>
        <v>1.7102472970796351E-5</v>
      </c>
      <c r="DN16" s="379">
        <f t="shared" si="23"/>
        <v>33.419969517703869</v>
      </c>
      <c r="DO16" s="733">
        <f t="shared" si="24"/>
        <v>5.3295532715606208E-7</v>
      </c>
      <c r="DP16" s="379">
        <f t="shared" si="25"/>
        <v>1.733962578570635</v>
      </c>
      <c r="DQ16" s="379">
        <f t="shared" si="78"/>
        <v>39.323011974704109</v>
      </c>
      <c r="DR16" s="733">
        <f t="shared" si="26"/>
        <v>7.1194296839845379E-6</v>
      </c>
      <c r="DS16" s="808">
        <f t="shared" si="27"/>
        <v>3.3494899999999999</v>
      </c>
      <c r="DW16" s="730">
        <f t="shared" si="102"/>
        <v>13</v>
      </c>
      <c r="DX16" s="840">
        <f t="shared" si="28"/>
        <v>13</v>
      </c>
      <c r="DY16" s="732" t="s">
        <v>420</v>
      </c>
      <c r="DZ16" s="733">
        <f t="shared" si="29"/>
        <v>1.7102472970796351E-5</v>
      </c>
      <c r="EA16" s="379">
        <f t="shared" si="30"/>
        <v>61.476449290582536</v>
      </c>
      <c r="EB16" s="808">
        <f t="shared" si="31"/>
        <v>5.2364949999999997</v>
      </c>
      <c r="EN16" s="730">
        <f>+EN15+1</f>
        <v>13</v>
      </c>
      <c r="EO16" s="840">
        <f t="shared" si="32"/>
        <v>13</v>
      </c>
      <c r="EP16" s="732" t="s">
        <v>420</v>
      </c>
      <c r="EQ16" s="733">
        <f t="shared" si="33"/>
        <v>1.1582367621086681E-5</v>
      </c>
      <c r="ER16" s="379">
        <f t="shared" si="34"/>
        <v>82.85568339062587</v>
      </c>
      <c r="ES16" s="733">
        <f t="shared" si="35"/>
        <v>1.3203736814083503E-5</v>
      </c>
      <c r="ET16" s="379">
        <f t="shared" si="36"/>
        <v>12.735049407924773</v>
      </c>
      <c r="EU16" s="733">
        <f t="shared" si="37"/>
        <v>5.3295532715606208E-7</v>
      </c>
      <c r="EV16" s="379">
        <f t="shared" si="38"/>
        <v>1.3771894259023301</v>
      </c>
      <c r="EW16" s="379">
        <f t="shared" si="39"/>
        <v>96.967922224452977</v>
      </c>
      <c r="EX16" s="733">
        <f t="shared" si="40"/>
        <v>9.060585011927862E-6</v>
      </c>
      <c r="EY16" s="808">
        <f t="shared" si="41"/>
        <v>8.2596190000000007</v>
      </c>
      <c r="FI16" s="730">
        <f>+FI15+1</f>
        <v>13</v>
      </c>
      <c r="FJ16" s="731">
        <f t="shared" si="42"/>
        <v>13</v>
      </c>
      <c r="FK16" s="732" t="s">
        <v>420</v>
      </c>
      <c r="FL16" s="733">
        <f t="shared" si="43"/>
        <v>1.1582367621086681E-5</v>
      </c>
      <c r="FM16" s="379">
        <f t="shared" si="44"/>
        <v>217.67471487241127</v>
      </c>
      <c r="FN16" s="808">
        <f t="shared" si="45"/>
        <v>18.541287000000001</v>
      </c>
      <c r="FR16" s="730">
        <f>+FR15+1</f>
        <v>13</v>
      </c>
      <c r="FS16" s="731">
        <v>13</v>
      </c>
      <c r="FT16" s="732" t="s">
        <v>420</v>
      </c>
      <c r="FU16" s="379">
        <f t="shared" si="46"/>
        <v>462.86243875577418</v>
      </c>
      <c r="FV16" s="379">
        <f t="shared" si="47"/>
        <v>104.95487339518999</v>
      </c>
      <c r="FW16" s="379">
        <f t="shared" si="48"/>
        <v>300.45589096760983</v>
      </c>
      <c r="FX16" s="379">
        <f t="shared" si="49"/>
        <v>39.323011974704109</v>
      </c>
      <c r="FY16" s="379">
        <f t="shared" si="50"/>
        <v>61.476449290582536</v>
      </c>
      <c r="FZ16" s="379">
        <f t="shared" si="51"/>
        <v>96.967922224452977</v>
      </c>
      <c r="GA16" s="379">
        <f t="shared" si="52"/>
        <v>217.67471487241127</v>
      </c>
      <c r="GB16" s="379">
        <f t="shared" si="53"/>
        <v>1283.7153014807247</v>
      </c>
      <c r="GC16" s="852">
        <f t="shared" si="54"/>
        <v>109.345426</v>
      </c>
      <c r="GG16" s="730">
        <f t="shared" si="79"/>
        <v>13</v>
      </c>
      <c r="GH16" s="731">
        <f t="shared" si="55"/>
        <v>13</v>
      </c>
      <c r="GI16" s="732" t="s">
        <v>420</v>
      </c>
      <c r="GJ16" s="808">
        <f t="shared" si="56"/>
        <v>39.426102</v>
      </c>
      <c r="GK16" s="808">
        <f t="shared" si="57"/>
        <v>8.9399379999999997</v>
      </c>
      <c r="GL16" s="808">
        <f t="shared" si="58"/>
        <v>25.592495</v>
      </c>
      <c r="GM16" s="808">
        <f t="shared" si="59"/>
        <v>3.3494899999999999</v>
      </c>
      <c r="GN16" s="808">
        <f t="shared" si="60"/>
        <v>5.2364949999999997</v>
      </c>
      <c r="GO16" s="808">
        <f t="shared" si="61"/>
        <v>8.2596190000000007</v>
      </c>
      <c r="GP16" s="808">
        <f t="shared" si="62"/>
        <v>18.541287000000001</v>
      </c>
      <c r="GQ16" s="808">
        <f t="shared" si="63"/>
        <v>109.345426</v>
      </c>
      <c r="GR16" s="784">
        <f t="shared" si="80"/>
        <v>1174</v>
      </c>
      <c r="GS16" s="716"/>
      <c r="GV16" s="717">
        <f t="shared" si="81"/>
        <v>13</v>
      </c>
      <c r="GW16" s="731">
        <v>13</v>
      </c>
      <c r="GX16" s="732" t="s">
        <v>420</v>
      </c>
      <c r="GY16" s="758" t="s">
        <v>397</v>
      </c>
      <c r="GZ16" s="906">
        <f t="shared" si="82"/>
        <v>1283.7153014807247</v>
      </c>
      <c r="HA16" s="784">
        <f t="shared" si="83"/>
        <v>1174</v>
      </c>
      <c r="HB16" s="922">
        <f t="shared" si="109"/>
        <v>109.345426</v>
      </c>
      <c r="HC16" s="942">
        <f t="shared" si="85"/>
        <v>1283.7153012399999</v>
      </c>
      <c r="HD16" s="857">
        <v>3.0916014566173544E-6</v>
      </c>
      <c r="HE16" s="54"/>
      <c r="HH16" s="54"/>
      <c r="HI16" s="54"/>
      <c r="HJ16" s="54"/>
      <c r="HK16" s="54"/>
      <c r="HL16" s="54"/>
      <c r="HM16" s="54"/>
      <c r="HN16" s="54"/>
      <c r="HQ16" s="730">
        <v>13</v>
      </c>
      <c r="HR16" s="867">
        <v>13</v>
      </c>
      <c r="HS16" s="732" t="s">
        <v>420</v>
      </c>
      <c r="HT16" s="784">
        <f t="shared" si="86"/>
        <v>1174</v>
      </c>
      <c r="HU16" s="917">
        <f t="shared" si="87"/>
        <v>109.345426</v>
      </c>
      <c r="HV16" s="868"/>
      <c r="HW16" s="765"/>
      <c r="HX16" s="868">
        <v>-62.519793000000007</v>
      </c>
      <c r="HY16" s="766">
        <v>10</v>
      </c>
      <c r="IP16" s="730">
        <v>13</v>
      </c>
      <c r="IQ16" s="867">
        <v>13</v>
      </c>
      <c r="IR16" s="732" t="s">
        <v>420</v>
      </c>
      <c r="IS16" s="913">
        <f t="shared" si="106"/>
        <v>1283.7153012399999</v>
      </c>
      <c r="IT16" s="915">
        <f t="shared" si="88"/>
        <v>1174</v>
      </c>
      <c r="IU16" s="918">
        <f t="shared" si="89"/>
        <v>109.345426</v>
      </c>
      <c r="IV16" s="904">
        <f>IT16*$IK$4/(1-$IL$4)</f>
        <v>171.76643216115849</v>
      </c>
      <c r="IW16" s="904">
        <f t="shared" si="91"/>
        <v>1002.2335678388415</v>
      </c>
      <c r="IX16" s="913">
        <f>IV16*$II$4</f>
        <v>2.5764964824173773</v>
      </c>
      <c r="IY16" s="881">
        <f t="shared" si="93"/>
        <v>1281.1388047575826</v>
      </c>
      <c r="IZ16" s="928">
        <f>100*IY16/IT16</f>
        <v>109.12596292654027</v>
      </c>
      <c r="JA16" s="928">
        <f>IZ16+1.5</f>
        <v>110.62596292654027</v>
      </c>
      <c r="JB16" s="913">
        <f t="shared" si="107"/>
        <v>1283.7153012400001</v>
      </c>
      <c r="JC16" s="852">
        <v>0.22223338397144232</v>
      </c>
      <c r="JG16" s="730">
        <v>13</v>
      </c>
      <c r="JH16" s="867">
        <v>13</v>
      </c>
      <c r="JI16" s="732" t="s">
        <v>420</v>
      </c>
      <c r="JJ16" s="784">
        <f t="shared" si="96"/>
        <v>1174</v>
      </c>
      <c r="JK16" s="917">
        <f t="shared" si="97"/>
        <v>109.12596292654027</v>
      </c>
      <c r="JL16" s="868">
        <v>172.63300000000001</v>
      </c>
      <c r="JM16" s="765"/>
      <c r="JN16" s="868"/>
      <c r="JO16" s="766">
        <v>10</v>
      </c>
      <c r="JT16" s="936">
        <v>7.0486779999999998</v>
      </c>
      <c r="JU16" s="936">
        <f t="shared" si="64"/>
        <v>0</v>
      </c>
      <c r="JV16" s="13">
        <v>4661820</v>
      </c>
      <c r="JW16" s="13">
        <f t="shared" si="65"/>
        <v>0</v>
      </c>
    </row>
    <row r="17" spans="3:294" x14ac:dyDescent="0.3">
      <c r="J17" s="338">
        <v>14</v>
      </c>
      <c r="K17" s="759">
        <v>14</v>
      </c>
      <c r="L17" s="518" t="s">
        <v>421</v>
      </c>
      <c r="M17" s="904">
        <v>4661820</v>
      </c>
      <c r="N17" s="943">
        <f t="shared" si="66"/>
        <v>2.1163047727791083E-3</v>
      </c>
      <c r="O17" s="455">
        <v>1224</v>
      </c>
      <c r="P17" s="948">
        <f t="shared" si="67"/>
        <v>3808.6764705882351</v>
      </c>
      <c r="Q17" s="659">
        <f t="shared" si="68"/>
        <v>2.15881776181618E-3</v>
      </c>
      <c r="R17" s="322" t="s">
        <v>402</v>
      </c>
      <c r="V17" s="734">
        <f t="shared" si="98"/>
        <v>14</v>
      </c>
      <c r="W17" s="735">
        <f t="shared" si="0"/>
        <v>14</v>
      </c>
      <c r="X17" s="518" t="s">
        <v>421</v>
      </c>
      <c r="Y17" s="924">
        <f t="shared" si="69"/>
        <v>245057.7604505661</v>
      </c>
      <c r="Z17" s="943">
        <f t="shared" si="70"/>
        <v>2.9289331690552679E-3</v>
      </c>
      <c r="AD17" s="734">
        <v>14</v>
      </c>
      <c r="AE17" s="146">
        <v>14</v>
      </c>
      <c r="AF17" s="347" t="s">
        <v>421</v>
      </c>
      <c r="AG17" s="369">
        <v>5.35</v>
      </c>
      <c r="AQ17" s="734">
        <f t="shared" si="71"/>
        <v>14</v>
      </c>
      <c r="AR17" s="787">
        <f t="shared" si="1"/>
        <v>14</v>
      </c>
      <c r="AS17" s="518" t="s">
        <v>421</v>
      </c>
      <c r="AT17" s="518">
        <f>VLOOKUP(AR17,$AE$4:$AG$27,$AT$30,FALSE)</f>
        <v>5.35</v>
      </c>
      <c r="AU17" s="788">
        <f t="shared" si="72"/>
        <v>4661820</v>
      </c>
      <c r="AV17" s="788">
        <f t="shared" si="99"/>
        <v>6927.9825000000001</v>
      </c>
      <c r="AW17" s="789">
        <f t="shared" si="3"/>
        <v>7169.3734035215048</v>
      </c>
      <c r="AX17" s="790">
        <f t="shared" si="4"/>
        <v>18.326441541544678</v>
      </c>
      <c r="AY17" s="358">
        <f t="shared" si="108"/>
        <v>131389.10256914207</v>
      </c>
      <c r="AZ17" s="35">
        <f t="shared" si="73"/>
        <v>3.6412589314839031E-3</v>
      </c>
      <c r="BA17" s="55">
        <f t="shared" si="5"/>
        <v>2.8184079999999998</v>
      </c>
      <c r="BL17" s="338">
        <f t="shared" si="100"/>
        <v>14</v>
      </c>
      <c r="BM17" s="322">
        <f t="shared" si="6"/>
        <v>14</v>
      </c>
      <c r="BN17" s="518" t="s">
        <v>421</v>
      </c>
      <c r="BO17" s="659">
        <f t="shared" si="7"/>
        <v>3.6412589314839031E-3</v>
      </c>
      <c r="BP17" s="358">
        <f t="shared" si="74"/>
        <v>28604.269769529474</v>
      </c>
      <c r="BQ17" s="659">
        <f t="shared" si="8"/>
        <v>2.1163047727791083E-3</v>
      </c>
      <c r="BR17" s="358">
        <f t="shared" si="75"/>
        <v>16624.841510638395</v>
      </c>
      <c r="BS17" s="809">
        <f t="shared" si="9"/>
        <v>45229.111280167868</v>
      </c>
      <c r="BT17" s="810">
        <f t="shared" si="10"/>
        <v>0.97020300000000004</v>
      </c>
      <c r="BW17" s="1"/>
      <c r="BX17" s="10"/>
      <c r="BY17" s="10"/>
      <c r="BZ17" s="10"/>
      <c r="CA17" s="10"/>
      <c r="CB17" s="10"/>
      <c r="CC17" s="10"/>
      <c r="CD17" s="10"/>
      <c r="CE17" s="10"/>
      <c r="CI17" s="734">
        <f t="shared" si="101"/>
        <v>14</v>
      </c>
      <c r="CJ17" s="146">
        <f t="shared" si="12"/>
        <v>14</v>
      </c>
      <c r="CK17" s="518" t="s">
        <v>421</v>
      </c>
      <c r="CL17" s="344">
        <f t="shared" si="13"/>
        <v>2.1163047727791083E-3</v>
      </c>
      <c r="CM17" s="20">
        <f t="shared" si="14"/>
        <v>11331.203930390217</v>
      </c>
      <c r="CN17" s="344">
        <f t="shared" si="15"/>
        <v>2.15881776181618E-3</v>
      </c>
      <c r="CO17" s="20">
        <f t="shared" si="16"/>
        <v>37565.86406178958</v>
      </c>
      <c r="CP17" s="20">
        <f t="shared" si="17"/>
        <v>48897.0679921798</v>
      </c>
      <c r="CQ17" s="344">
        <f t="shared" si="18"/>
        <v>2.1488146385476897E-3</v>
      </c>
      <c r="CR17" s="342">
        <f t="shared" si="19"/>
        <v>1.0488839999999999</v>
      </c>
      <c r="DE17" s="1"/>
      <c r="DH17" s="734">
        <v>14</v>
      </c>
      <c r="DI17" s="745">
        <f t="shared" si="20"/>
        <v>14</v>
      </c>
      <c r="DJ17" s="518" t="s">
        <v>421</v>
      </c>
      <c r="DK17" s="344">
        <f t="shared" si="21"/>
        <v>2.1488146385476897E-3</v>
      </c>
      <c r="DL17" s="20">
        <f t="shared" si="77"/>
        <v>678.48821876611987</v>
      </c>
      <c r="DM17" s="344">
        <f t="shared" si="22"/>
        <v>2.15881776181618E-3</v>
      </c>
      <c r="DN17" s="20">
        <f t="shared" si="23"/>
        <v>4218.5492073205705</v>
      </c>
      <c r="DO17" s="344">
        <f t="shared" si="24"/>
        <v>2.1163047727791083E-3</v>
      </c>
      <c r="DP17" s="20">
        <f t="shared" si="25"/>
        <v>6885.3674855469826</v>
      </c>
      <c r="DQ17" s="20">
        <f t="shared" si="78"/>
        <v>11782.404911633672</v>
      </c>
      <c r="DR17" s="344">
        <f t="shared" si="26"/>
        <v>2.133203919643065E-3</v>
      </c>
      <c r="DS17" s="342">
        <f t="shared" si="27"/>
        <v>0.252743</v>
      </c>
      <c r="DW17" s="734">
        <f t="shared" si="102"/>
        <v>14</v>
      </c>
      <c r="DX17" s="745">
        <f t="shared" si="28"/>
        <v>14</v>
      </c>
      <c r="DY17" s="518" t="s">
        <v>421</v>
      </c>
      <c r="DZ17" s="344">
        <f t="shared" si="29"/>
        <v>2.15881776181618E-3</v>
      </c>
      <c r="EA17" s="20">
        <f t="shared" si="30"/>
        <v>7760.0736974426882</v>
      </c>
      <c r="EB17" s="342">
        <f t="shared" si="31"/>
        <v>0.16646</v>
      </c>
      <c r="EN17" s="734">
        <f t="shared" si="103"/>
        <v>14</v>
      </c>
      <c r="EO17" s="745">
        <f t="shared" si="32"/>
        <v>14</v>
      </c>
      <c r="EP17" s="518" t="s">
        <v>421</v>
      </c>
      <c r="EQ17" s="344">
        <f t="shared" si="33"/>
        <v>2.9289331690552679E-3</v>
      </c>
      <c r="ER17" s="20">
        <f t="shared" si="34"/>
        <v>20952.431080302489</v>
      </c>
      <c r="ES17" s="344">
        <f t="shared" si="35"/>
        <v>2.1488146385476897E-3</v>
      </c>
      <c r="ET17" s="20">
        <f t="shared" si="36"/>
        <v>2072.5390831168515</v>
      </c>
      <c r="EU17" s="344">
        <f t="shared" si="37"/>
        <v>2.1163047727791083E-3</v>
      </c>
      <c r="EV17" s="20">
        <f t="shared" si="38"/>
        <v>5468.6620182793868</v>
      </c>
      <c r="EW17" s="20">
        <f t="shared" si="39"/>
        <v>28493.632181698726</v>
      </c>
      <c r="EX17" s="344">
        <f t="shared" si="40"/>
        <v>2.6624162997253625E-3</v>
      </c>
      <c r="EY17" s="342">
        <f t="shared" si="41"/>
        <v>0.61121300000000001</v>
      </c>
      <c r="FI17" s="734">
        <f t="shared" si="104"/>
        <v>14</v>
      </c>
      <c r="FJ17" s="735">
        <f t="shared" si="42"/>
        <v>14</v>
      </c>
      <c r="FK17" s="518" t="s">
        <v>421</v>
      </c>
      <c r="FL17" s="344">
        <f t="shared" si="43"/>
        <v>2.9289331690552679E-3</v>
      </c>
      <c r="FM17" s="20">
        <f t="shared" si="44"/>
        <v>55045.282045247048</v>
      </c>
      <c r="FN17" s="342">
        <f t="shared" si="45"/>
        <v>1.180768</v>
      </c>
      <c r="FR17" s="734">
        <f t="shared" si="105"/>
        <v>14</v>
      </c>
      <c r="FS17" s="735">
        <v>14</v>
      </c>
      <c r="FT17" s="518" t="s">
        <v>421</v>
      </c>
      <c r="FU17" s="20">
        <f t="shared" si="46"/>
        <v>131389.10256914207</v>
      </c>
      <c r="FV17" s="20">
        <f t="shared" si="47"/>
        <v>45229.111280167868</v>
      </c>
      <c r="FW17" s="20">
        <f t="shared" si="48"/>
        <v>48897.0679921798</v>
      </c>
      <c r="FX17" s="20">
        <f t="shared" si="49"/>
        <v>11782.404911633672</v>
      </c>
      <c r="FY17" s="20">
        <f t="shared" si="50"/>
        <v>7760.0736974426882</v>
      </c>
      <c r="FZ17" s="20">
        <f t="shared" si="51"/>
        <v>28493.632181698726</v>
      </c>
      <c r="GA17" s="20">
        <f t="shared" si="52"/>
        <v>55045.282045247048</v>
      </c>
      <c r="GB17" s="20">
        <f t="shared" si="53"/>
        <v>328596.67467751185</v>
      </c>
      <c r="GC17" s="414">
        <f t="shared" si="54"/>
        <v>7.0486779999999998</v>
      </c>
      <c r="GG17" s="734">
        <f t="shared" si="79"/>
        <v>14</v>
      </c>
      <c r="GH17" s="735">
        <f t="shared" si="55"/>
        <v>14</v>
      </c>
      <c r="GI17" s="518" t="s">
        <v>421</v>
      </c>
      <c r="GJ17" s="342">
        <f t="shared" si="56"/>
        <v>2.8184079999999998</v>
      </c>
      <c r="GK17" s="342">
        <f t="shared" si="57"/>
        <v>0.97020300000000004</v>
      </c>
      <c r="GL17" s="342">
        <f t="shared" si="58"/>
        <v>1.0488839999999999</v>
      </c>
      <c r="GM17" s="342">
        <f t="shared" si="59"/>
        <v>0.252743</v>
      </c>
      <c r="GN17" s="342">
        <f t="shared" si="60"/>
        <v>0.16646</v>
      </c>
      <c r="GO17" s="342">
        <f t="shared" si="61"/>
        <v>0.61121300000000001</v>
      </c>
      <c r="GP17" s="342">
        <f t="shared" si="62"/>
        <v>1.180768</v>
      </c>
      <c r="GQ17" s="342">
        <f t="shared" si="63"/>
        <v>7.0486779999999998</v>
      </c>
      <c r="GR17" s="788">
        <f t="shared" si="80"/>
        <v>4661820</v>
      </c>
      <c r="GS17" s="716"/>
      <c r="GV17" s="718">
        <f t="shared" si="81"/>
        <v>14</v>
      </c>
      <c r="GW17" s="735">
        <v>14</v>
      </c>
      <c r="GX17" s="518" t="s">
        <v>421</v>
      </c>
      <c r="GY17" s="322" t="s">
        <v>402</v>
      </c>
      <c r="GZ17" s="924">
        <f t="shared" si="82"/>
        <v>328596.67467751185</v>
      </c>
      <c r="HA17" s="788">
        <f t="shared" si="83"/>
        <v>4661820</v>
      </c>
      <c r="HB17" s="922">
        <f t="shared" si="109"/>
        <v>7.0486779999999998</v>
      </c>
      <c r="HC17" s="942">
        <f t="shared" si="85"/>
        <v>328596.68073959998</v>
      </c>
      <c r="HD17" s="858">
        <v>1.3547623995691538E-2</v>
      </c>
      <c r="HE17" s="54"/>
      <c r="HH17" s="54"/>
      <c r="HI17" s="54"/>
      <c r="HJ17" s="54"/>
      <c r="HK17" s="54"/>
      <c r="HL17" s="54"/>
      <c r="HM17" s="54"/>
      <c r="HN17" s="54"/>
      <c r="HQ17" s="734">
        <v>14</v>
      </c>
      <c r="HR17" s="869">
        <v>14</v>
      </c>
      <c r="HS17" s="518" t="s">
        <v>421</v>
      </c>
      <c r="HT17" s="788">
        <f t="shared" si="86"/>
        <v>4661820</v>
      </c>
      <c r="HU17" s="917">
        <f t="shared" si="87"/>
        <v>7.0486779999999998</v>
      </c>
      <c r="HV17" s="870"/>
      <c r="HW17" s="768"/>
      <c r="HX17" s="870">
        <v>-1.889964</v>
      </c>
      <c r="HY17" s="769">
        <v>10</v>
      </c>
      <c r="IP17" s="734">
        <v>14</v>
      </c>
      <c r="IQ17" s="869">
        <v>14</v>
      </c>
      <c r="IR17" s="518" t="s">
        <v>421</v>
      </c>
      <c r="IS17" s="913">
        <f t="shared" si="106"/>
        <v>328596.68073959998</v>
      </c>
      <c r="IT17" s="915">
        <f t="shared" si="88"/>
        <v>4661820</v>
      </c>
      <c r="IU17" s="919">
        <f t="shared" si="89"/>
        <v>7.0486779999999998</v>
      </c>
      <c r="IV17" s="904">
        <v>0</v>
      </c>
      <c r="IW17" s="904">
        <f t="shared" si="91"/>
        <v>4661820</v>
      </c>
      <c r="IX17" s="913">
        <v>0</v>
      </c>
      <c r="IY17" s="882">
        <f t="shared" si="93"/>
        <v>328596.68073959998</v>
      </c>
      <c r="IZ17" s="928">
        <f>IU17</f>
        <v>7.0486779999999998</v>
      </c>
      <c r="JA17" s="929">
        <f>IZ17</f>
        <v>7.0486779999999998</v>
      </c>
      <c r="JB17" s="913">
        <f t="shared" si="107"/>
        <v>328596.68073959998</v>
      </c>
      <c r="JC17" s="883">
        <v>0</v>
      </c>
      <c r="JG17" s="734">
        <v>14</v>
      </c>
      <c r="JH17" s="869">
        <v>14</v>
      </c>
      <c r="JI17" s="518" t="s">
        <v>421</v>
      </c>
      <c r="JJ17" s="788">
        <f t="shared" si="96"/>
        <v>4661820</v>
      </c>
      <c r="JK17" s="917">
        <f t="shared" si="97"/>
        <v>7.0486779999999998</v>
      </c>
      <c r="JL17" s="870">
        <v>8.9960000000000004</v>
      </c>
      <c r="JM17" s="768"/>
      <c r="JN17" s="870"/>
      <c r="JO17" s="769">
        <v>10</v>
      </c>
      <c r="JT17" s="936">
        <v>5.1476399265402577</v>
      </c>
      <c r="JU17" s="936">
        <f t="shared" si="64"/>
        <v>0</v>
      </c>
      <c r="JV17" s="13">
        <v>96124959</v>
      </c>
      <c r="JW17" s="13">
        <f t="shared" si="65"/>
        <v>0</v>
      </c>
    </row>
    <row r="18" spans="3:294" x14ac:dyDescent="0.3">
      <c r="J18" s="756">
        <v>15</v>
      </c>
      <c r="K18" s="757">
        <v>15</v>
      </c>
      <c r="L18" s="732" t="s">
        <v>422</v>
      </c>
      <c r="M18" s="904">
        <v>96124959</v>
      </c>
      <c r="N18" s="944">
        <f t="shared" si="66"/>
        <v>4.3637401168405497E-2</v>
      </c>
      <c r="O18" s="753">
        <v>1647.5553979923125</v>
      </c>
      <c r="P18" s="948">
        <f t="shared" si="67"/>
        <v>58343.992024266074</v>
      </c>
      <c r="Q18" s="733">
        <f t="shared" si="68"/>
        <v>3.3070292856298721E-2</v>
      </c>
      <c r="R18" s="758" t="s">
        <v>397</v>
      </c>
      <c r="V18" s="730">
        <f t="shared" si="98"/>
        <v>15</v>
      </c>
      <c r="W18" s="731">
        <f t="shared" si="0"/>
        <v>15</v>
      </c>
      <c r="X18" s="732" t="s">
        <v>422</v>
      </c>
      <c r="Y18" s="924">
        <f t="shared" si="69"/>
        <v>3825651.5727762231</v>
      </c>
      <c r="Z18" s="944">
        <f t="shared" si="70"/>
        <v>4.5724231561371266E-2</v>
      </c>
      <c r="AD18" s="730">
        <v>15</v>
      </c>
      <c r="AE18" s="746">
        <v>15</v>
      </c>
      <c r="AF18" s="747" t="s">
        <v>422</v>
      </c>
      <c r="AG18" s="748">
        <v>3.79</v>
      </c>
      <c r="AQ18" s="730">
        <f t="shared" si="71"/>
        <v>15</v>
      </c>
      <c r="AR18" s="783">
        <f t="shared" si="1"/>
        <v>15</v>
      </c>
      <c r="AS18" s="732" t="s">
        <v>422</v>
      </c>
      <c r="AT18" s="732">
        <f t="shared" si="2"/>
        <v>3.79</v>
      </c>
      <c r="AU18" s="784">
        <f t="shared" si="72"/>
        <v>96124959</v>
      </c>
      <c r="AV18" s="784">
        <f t="shared" si="99"/>
        <v>101198.22072500001</v>
      </c>
      <c r="AW18" s="785">
        <f t="shared" si="3"/>
        <v>104724.25877945185</v>
      </c>
      <c r="AX18" s="786">
        <f t="shared" si="4"/>
        <v>18.326441541544678</v>
      </c>
      <c r="AY18" s="379">
        <f>AW18*AX18</f>
        <v>1919223.0065032213</v>
      </c>
      <c r="AZ18" s="51">
        <f t="shared" si="73"/>
        <v>5.3188489587724229E-2</v>
      </c>
      <c r="BA18" s="53">
        <f t="shared" si="5"/>
        <v>1.9965919999999999</v>
      </c>
      <c r="BL18" s="756">
        <f t="shared" si="100"/>
        <v>15</v>
      </c>
      <c r="BM18" s="758">
        <f t="shared" si="6"/>
        <v>15</v>
      </c>
      <c r="BN18" s="732" t="s">
        <v>422</v>
      </c>
      <c r="BO18" s="733">
        <f t="shared" si="7"/>
        <v>5.3188489587724229E-2</v>
      </c>
      <c r="BP18" s="379">
        <f t="shared" si="74"/>
        <v>417827.44194493687</v>
      </c>
      <c r="BQ18" s="733">
        <f t="shared" si="8"/>
        <v>4.3637401168405497E-2</v>
      </c>
      <c r="BR18" s="379">
        <f t="shared" si="75"/>
        <v>342797.92196859029</v>
      </c>
      <c r="BS18" s="807">
        <f t="shared" si="9"/>
        <v>760625.36391352722</v>
      </c>
      <c r="BT18" s="808">
        <f t="shared" si="10"/>
        <v>0.79128799999999999</v>
      </c>
      <c r="BW18" s="1"/>
      <c r="BX18" s="10"/>
      <c r="BY18" s="10"/>
      <c r="BZ18" s="10"/>
      <c r="CA18" s="10"/>
      <c r="CB18" s="10"/>
      <c r="CC18" s="10"/>
      <c r="CD18" s="10"/>
      <c r="CE18" s="10"/>
      <c r="CI18" s="730">
        <f t="shared" si="101"/>
        <v>15</v>
      </c>
      <c r="CJ18" s="746">
        <f t="shared" si="12"/>
        <v>15</v>
      </c>
      <c r="CK18" s="732" t="s">
        <v>422</v>
      </c>
      <c r="CL18" s="733">
        <f t="shared" si="13"/>
        <v>4.3637401168405497E-2</v>
      </c>
      <c r="CM18" s="379">
        <f t="shared" si="14"/>
        <v>233645.12427107836</v>
      </c>
      <c r="CN18" s="733">
        <f t="shared" si="15"/>
        <v>3.3070292856298721E-2</v>
      </c>
      <c r="CO18" s="379">
        <f t="shared" si="16"/>
        <v>575460.3968415329</v>
      </c>
      <c r="CP18" s="379">
        <f t="shared" si="17"/>
        <v>809105.52111261128</v>
      </c>
      <c r="CQ18" s="733">
        <f t="shared" si="18"/>
        <v>3.5556687942405796E-2</v>
      </c>
      <c r="CR18" s="808">
        <f t="shared" si="19"/>
        <v>0.841723</v>
      </c>
      <c r="DE18" s="1"/>
      <c r="DH18" s="730">
        <v>15</v>
      </c>
      <c r="DI18" s="840">
        <f t="shared" si="20"/>
        <v>15</v>
      </c>
      <c r="DJ18" s="732" t="s">
        <v>422</v>
      </c>
      <c r="DK18" s="733">
        <f t="shared" si="21"/>
        <v>3.5556687942405796E-2</v>
      </c>
      <c r="DL18" s="379">
        <f t="shared" si="77"/>
        <v>11227.024162293868</v>
      </c>
      <c r="DM18" s="733">
        <f t="shared" si="22"/>
        <v>3.3070292856298721E-2</v>
      </c>
      <c r="DN18" s="379">
        <f t="shared" si="23"/>
        <v>64622.711644465817</v>
      </c>
      <c r="DO18" s="733">
        <f t="shared" si="24"/>
        <v>4.3637401168405497E-2</v>
      </c>
      <c r="DP18" s="379">
        <f t="shared" si="25"/>
        <v>141973.66420156436</v>
      </c>
      <c r="DQ18" s="379">
        <f t="shared" si="78"/>
        <v>217823.40000832404</v>
      </c>
      <c r="DR18" s="733">
        <f t="shared" si="26"/>
        <v>3.9436917520033615E-2</v>
      </c>
      <c r="DS18" s="808">
        <f t="shared" si="27"/>
        <v>0.226604</v>
      </c>
      <c r="DW18" s="730">
        <f t="shared" si="102"/>
        <v>15</v>
      </c>
      <c r="DX18" s="840">
        <f t="shared" si="28"/>
        <v>15</v>
      </c>
      <c r="DY18" s="732" t="s">
        <v>422</v>
      </c>
      <c r="DZ18" s="733">
        <f t="shared" si="29"/>
        <v>3.3070292856298721E-2</v>
      </c>
      <c r="EA18" s="379">
        <f t="shared" si="30"/>
        <v>118874.2812385393</v>
      </c>
      <c r="EB18" s="808">
        <f t="shared" si="31"/>
        <v>0.123666</v>
      </c>
      <c r="EN18" s="730">
        <f t="shared" si="103"/>
        <v>15</v>
      </c>
      <c r="EO18" s="840">
        <f t="shared" si="32"/>
        <v>15</v>
      </c>
      <c r="EP18" s="732" t="s">
        <v>422</v>
      </c>
      <c r="EQ18" s="733">
        <f t="shared" si="33"/>
        <v>4.5724231561371266E-2</v>
      </c>
      <c r="ER18" s="379">
        <f t="shared" si="34"/>
        <v>327093.09335263481</v>
      </c>
      <c r="ES18" s="733">
        <f t="shared" si="35"/>
        <v>3.5556687942405796E-2</v>
      </c>
      <c r="ET18" s="379">
        <f t="shared" si="36"/>
        <v>34294.54737735408</v>
      </c>
      <c r="EU18" s="733">
        <f t="shared" si="37"/>
        <v>4.3637401168405497E-2</v>
      </c>
      <c r="EV18" s="379">
        <f t="shared" si="38"/>
        <v>112761.73517895656</v>
      </c>
      <c r="EW18" s="379">
        <f t="shared" si="39"/>
        <v>474149.37590894545</v>
      </c>
      <c r="EX18" s="733">
        <f t="shared" si="40"/>
        <v>4.4304040245715146E-2</v>
      </c>
      <c r="EY18" s="808">
        <f t="shared" si="41"/>
        <v>0.49326399999999998</v>
      </c>
      <c r="FI18" s="730">
        <f t="shared" si="104"/>
        <v>15</v>
      </c>
      <c r="FJ18" s="731">
        <f t="shared" si="42"/>
        <v>15</v>
      </c>
      <c r="FK18" s="732" t="s">
        <v>422</v>
      </c>
      <c r="FL18" s="733">
        <f t="shared" si="43"/>
        <v>4.5724231561371266E-2</v>
      </c>
      <c r="FM18" s="379">
        <f t="shared" si="44"/>
        <v>859324.22398347151</v>
      </c>
      <c r="FN18" s="808">
        <f t="shared" si="45"/>
        <v>0.89396600000000004</v>
      </c>
      <c r="FR18" s="730">
        <f t="shared" si="105"/>
        <v>15</v>
      </c>
      <c r="FS18" s="731">
        <v>15</v>
      </c>
      <c r="FT18" s="732" t="s">
        <v>422</v>
      </c>
      <c r="FU18" s="379">
        <f t="shared" si="46"/>
        <v>1919223.0065032213</v>
      </c>
      <c r="FV18" s="379">
        <f t="shared" si="47"/>
        <v>760625.36391352722</v>
      </c>
      <c r="FW18" s="379">
        <f t="shared" si="48"/>
        <v>809105.52111261128</v>
      </c>
      <c r="FX18" s="379">
        <f t="shared" si="49"/>
        <v>217823.40000832404</v>
      </c>
      <c r="FY18" s="379">
        <f t="shared" si="50"/>
        <v>118874.2812385393</v>
      </c>
      <c r="FZ18" s="379">
        <f t="shared" si="51"/>
        <v>474149.37590894545</v>
      </c>
      <c r="GA18" s="379">
        <f t="shared" si="52"/>
        <v>859324.22398347151</v>
      </c>
      <c r="GB18" s="379">
        <f t="shared" si="53"/>
        <v>5159125.1726686396</v>
      </c>
      <c r="GC18" s="852">
        <f t="shared" si="54"/>
        <v>5.3671030000000002</v>
      </c>
      <c r="GG18" s="730">
        <f t="shared" si="79"/>
        <v>15</v>
      </c>
      <c r="GH18" s="731">
        <f t="shared" si="55"/>
        <v>15</v>
      </c>
      <c r="GI18" s="732" t="s">
        <v>422</v>
      </c>
      <c r="GJ18" s="808">
        <f t="shared" si="56"/>
        <v>1.9965919999999999</v>
      </c>
      <c r="GK18" s="808">
        <f t="shared" si="57"/>
        <v>0.79128799999999999</v>
      </c>
      <c r="GL18" s="808">
        <f t="shared" si="58"/>
        <v>0.841723</v>
      </c>
      <c r="GM18" s="808">
        <f t="shared" si="59"/>
        <v>0.226604</v>
      </c>
      <c r="GN18" s="808">
        <f t="shared" si="60"/>
        <v>0.123666</v>
      </c>
      <c r="GO18" s="808">
        <f t="shared" si="61"/>
        <v>0.49326399999999998</v>
      </c>
      <c r="GP18" s="808">
        <f t="shared" si="62"/>
        <v>0.89396600000000004</v>
      </c>
      <c r="GQ18" s="808">
        <f t="shared" si="63"/>
        <v>5.3671030000000002</v>
      </c>
      <c r="GR18" s="784">
        <f t="shared" si="80"/>
        <v>96124959</v>
      </c>
      <c r="GS18" s="716"/>
      <c r="GV18" s="717">
        <f t="shared" si="81"/>
        <v>15</v>
      </c>
      <c r="GW18" s="731">
        <v>15</v>
      </c>
      <c r="GX18" s="732" t="s">
        <v>422</v>
      </c>
      <c r="GY18" s="758" t="s">
        <v>397</v>
      </c>
      <c r="GZ18" s="906">
        <f t="shared" si="82"/>
        <v>5159125.1726686396</v>
      </c>
      <c r="HA18" s="784">
        <f t="shared" si="83"/>
        <v>96124959</v>
      </c>
      <c r="HB18" s="922">
        <f t="shared" si="109"/>
        <v>5.3671030000000002</v>
      </c>
      <c r="HC18" s="942">
        <f t="shared" si="85"/>
        <v>5159125.5582377706</v>
      </c>
      <c r="HD18" s="857">
        <v>-0.15500812418758869</v>
      </c>
      <c r="HE18" s="54"/>
      <c r="HH18" s="54"/>
      <c r="HI18" s="54"/>
      <c r="HJ18" s="54"/>
      <c r="HK18" s="54"/>
      <c r="HL18" s="54"/>
      <c r="HM18" s="54"/>
      <c r="HN18" s="54"/>
      <c r="HQ18" s="730">
        <v>15</v>
      </c>
      <c r="HR18" s="867">
        <v>15</v>
      </c>
      <c r="HS18" s="732" t="s">
        <v>422</v>
      </c>
      <c r="HT18" s="784">
        <f t="shared" si="86"/>
        <v>96124959</v>
      </c>
      <c r="HU18" s="917">
        <f t="shared" si="87"/>
        <v>5.3671030000000002</v>
      </c>
      <c r="HV18" s="868"/>
      <c r="HW18" s="765"/>
      <c r="HX18" s="868">
        <v>-1.348795</v>
      </c>
      <c r="HY18" s="766">
        <v>10</v>
      </c>
      <c r="IP18" s="730">
        <v>15</v>
      </c>
      <c r="IQ18" s="867">
        <v>15</v>
      </c>
      <c r="IR18" s="732" t="s">
        <v>422</v>
      </c>
      <c r="IS18" s="913">
        <f t="shared" si="106"/>
        <v>5159125.5582377706</v>
      </c>
      <c r="IT18" s="915">
        <f t="shared" si="88"/>
        <v>96124959</v>
      </c>
      <c r="IU18" s="918">
        <f t="shared" si="89"/>
        <v>5.3671030000000002</v>
      </c>
      <c r="IV18" s="904">
        <f t="shared" ref="IV18:IV22" si="114">IT18*$IK$4/(1-$IL$4)</f>
        <v>14063919.292221162</v>
      </c>
      <c r="IW18" s="904">
        <f t="shared" si="91"/>
        <v>82061039.707778841</v>
      </c>
      <c r="IX18" s="913">
        <f t="shared" ref="IX18:IX22" si="115">IV18*$II$4</f>
        <v>210958.78938331743</v>
      </c>
      <c r="IY18" s="881">
        <f t="shared" si="93"/>
        <v>4948166.7688544532</v>
      </c>
      <c r="IZ18" s="928">
        <f t="shared" ref="IZ18:IZ22" si="116">100*IY18/IT18</f>
        <v>5.1476399265402577</v>
      </c>
      <c r="JA18" s="928">
        <f t="shared" ref="JA18:JA22" si="117">IZ18+1.5</f>
        <v>6.6476399265402577</v>
      </c>
      <c r="JB18" s="913">
        <f t="shared" si="107"/>
        <v>5159125.5582377706</v>
      </c>
      <c r="JC18" s="852">
        <v>0.2222329163183332</v>
      </c>
      <c r="JG18" s="730">
        <v>15</v>
      </c>
      <c r="JH18" s="867">
        <v>15</v>
      </c>
      <c r="JI18" s="732" t="s">
        <v>422</v>
      </c>
      <c r="JJ18" s="784">
        <f t="shared" si="96"/>
        <v>96124959</v>
      </c>
      <c r="JK18" s="917">
        <f t="shared" si="97"/>
        <v>5.1476399265402577</v>
      </c>
      <c r="JL18" s="868">
        <v>6.5359999999999996</v>
      </c>
      <c r="JM18" s="765"/>
      <c r="JN18" s="868"/>
      <c r="JO18" s="766">
        <v>10</v>
      </c>
      <c r="JT18" s="936">
        <v>15.047708926540258</v>
      </c>
      <c r="JU18" s="936">
        <f t="shared" si="64"/>
        <v>0</v>
      </c>
      <c r="JV18" s="13">
        <v>10481200</v>
      </c>
      <c r="JW18" s="13">
        <f t="shared" si="65"/>
        <v>0</v>
      </c>
    </row>
    <row r="19" spans="3:294" x14ac:dyDescent="0.3">
      <c r="C19" s="3"/>
      <c r="J19" s="338">
        <v>16</v>
      </c>
      <c r="K19" s="759">
        <v>16</v>
      </c>
      <c r="L19" s="518" t="s">
        <v>423</v>
      </c>
      <c r="M19" s="904">
        <v>10481200</v>
      </c>
      <c r="N19" s="943">
        <f t="shared" si="66"/>
        <v>4.7581016822726731E-3</v>
      </c>
      <c r="O19" s="455">
        <v>286.98366108420379</v>
      </c>
      <c r="P19" s="948">
        <f t="shared" si="67"/>
        <v>36521.939821949352</v>
      </c>
      <c r="Q19" s="659">
        <f t="shared" si="68"/>
        <v>2.0701210247828884E-2</v>
      </c>
      <c r="R19" s="322" t="s">
        <v>397</v>
      </c>
      <c r="V19" s="734">
        <f t="shared" si="98"/>
        <v>16</v>
      </c>
      <c r="W19" s="735">
        <f t="shared" si="0"/>
        <v>16</v>
      </c>
      <c r="X19" s="518" t="s">
        <v>423</v>
      </c>
      <c r="Y19" s="924">
        <f t="shared" si="69"/>
        <v>1199537.0272076584</v>
      </c>
      <c r="Z19" s="943">
        <f t="shared" si="70"/>
        <v>1.4336880334002685E-2</v>
      </c>
      <c r="AD19" s="734">
        <v>16</v>
      </c>
      <c r="AE19" s="146">
        <v>16</v>
      </c>
      <c r="AF19" s="347" t="s">
        <v>423</v>
      </c>
      <c r="AG19" s="369">
        <v>9.5299999999999994</v>
      </c>
      <c r="AQ19" s="734">
        <f t="shared" si="71"/>
        <v>16</v>
      </c>
      <c r="AR19" s="787">
        <f t="shared" si="1"/>
        <v>16</v>
      </c>
      <c r="AS19" s="518" t="s">
        <v>423</v>
      </c>
      <c r="AT19" s="518">
        <f t="shared" si="2"/>
        <v>9.5299999999999994</v>
      </c>
      <c r="AU19" s="788">
        <f t="shared" si="72"/>
        <v>10481200</v>
      </c>
      <c r="AV19" s="788">
        <f t="shared" si="99"/>
        <v>27746.065555555557</v>
      </c>
      <c r="AW19" s="789">
        <f t="shared" si="3"/>
        <v>28712.818550907734</v>
      </c>
      <c r="AX19" s="790">
        <f t="shared" si="4"/>
        <v>18.326441541544678</v>
      </c>
      <c r="AY19" s="358">
        <f t="shared" si="108"/>
        <v>526203.79066619021</v>
      </c>
      <c r="AZ19" s="35">
        <f t="shared" si="73"/>
        <v>1.4582976937038245E-2</v>
      </c>
      <c r="BA19" s="55">
        <f t="shared" si="5"/>
        <v>5.020454</v>
      </c>
      <c r="BL19" s="338">
        <f t="shared" si="100"/>
        <v>16</v>
      </c>
      <c r="BM19" s="322">
        <f t="shared" si="6"/>
        <v>16</v>
      </c>
      <c r="BN19" s="518" t="s">
        <v>423</v>
      </c>
      <c r="BO19" s="659">
        <f t="shared" si="7"/>
        <v>1.4582976937038245E-2</v>
      </c>
      <c r="BP19" s="358">
        <f t="shared" si="74"/>
        <v>114558.01803687595</v>
      </c>
      <c r="BQ19" s="659">
        <f t="shared" si="8"/>
        <v>4.7581016822726731E-3</v>
      </c>
      <c r="BR19" s="358">
        <f t="shared" si="75"/>
        <v>37377.738488681061</v>
      </c>
      <c r="BS19" s="809">
        <f t="shared" si="9"/>
        <v>151935.75652555702</v>
      </c>
      <c r="BT19" s="810">
        <f t="shared" si="10"/>
        <v>1.449603</v>
      </c>
      <c r="BW19" s="1"/>
      <c r="BX19" s="10"/>
      <c r="BY19" s="10"/>
      <c r="BZ19" s="10"/>
      <c r="CA19" s="10"/>
      <c r="CB19" s="10"/>
      <c r="CC19" s="10"/>
      <c r="CD19" s="10"/>
      <c r="CE19" s="10"/>
      <c r="CI19" s="734">
        <f t="shared" si="101"/>
        <v>16</v>
      </c>
      <c r="CJ19" s="146">
        <f t="shared" si="12"/>
        <v>16</v>
      </c>
      <c r="CK19" s="518" t="s">
        <v>423</v>
      </c>
      <c r="CL19" s="344">
        <f t="shared" si="13"/>
        <v>4.7581016822726731E-3</v>
      </c>
      <c r="CM19" s="20">
        <f t="shared" si="14"/>
        <v>25476.018944362062</v>
      </c>
      <c r="CN19" s="344">
        <f t="shared" si="15"/>
        <v>2.0701210247828884E-2</v>
      </c>
      <c r="CO19" s="20">
        <f t="shared" si="16"/>
        <v>360224.40793253103</v>
      </c>
      <c r="CP19" s="20">
        <f t="shared" si="17"/>
        <v>385700.42687689309</v>
      </c>
      <c r="CQ19" s="344">
        <f t="shared" si="18"/>
        <v>1.6949865450004323E-2</v>
      </c>
      <c r="CR19" s="342">
        <f t="shared" si="19"/>
        <v>3.679926</v>
      </c>
      <c r="DE19" s="1"/>
      <c r="DH19" s="734">
        <v>16</v>
      </c>
      <c r="DI19" s="745">
        <f t="shared" si="20"/>
        <v>16</v>
      </c>
      <c r="DJ19" s="518" t="s">
        <v>423</v>
      </c>
      <c r="DK19" s="344">
        <f t="shared" si="21"/>
        <v>1.6949865450004323E-2</v>
      </c>
      <c r="DL19" s="20">
        <f t="shared" si="77"/>
        <v>5351.9199893721307</v>
      </c>
      <c r="DM19" s="344">
        <f t="shared" si="22"/>
        <v>2.0701210247828884E-2</v>
      </c>
      <c r="DN19" s="20">
        <f t="shared" si="23"/>
        <v>40452.267730133186</v>
      </c>
      <c r="DO19" s="344">
        <f t="shared" si="24"/>
        <v>4.7581016822726731E-3</v>
      </c>
      <c r="DP19" s="20">
        <f t="shared" si="25"/>
        <v>15480.416165685299</v>
      </c>
      <c r="DQ19" s="20">
        <f t="shared" si="78"/>
        <v>61284.60388519062</v>
      </c>
      <c r="DR19" s="344">
        <f t="shared" si="26"/>
        <v>1.109557498678211E-2</v>
      </c>
      <c r="DS19" s="342">
        <f t="shared" si="27"/>
        <v>0.58470999999999995</v>
      </c>
      <c r="DW19" s="734">
        <f t="shared" si="102"/>
        <v>16</v>
      </c>
      <c r="DX19" s="745">
        <f t="shared" si="28"/>
        <v>16</v>
      </c>
      <c r="DY19" s="518" t="s">
        <v>423</v>
      </c>
      <c r="DZ19" s="344">
        <f t="shared" si="29"/>
        <v>2.0701210247828884E-2</v>
      </c>
      <c r="EA19" s="20">
        <f t="shared" si="30"/>
        <v>74412.449253827494</v>
      </c>
      <c r="EB19" s="342">
        <f t="shared" si="31"/>
        <v>0.70996099999999995</v>
      </c>
      <c r="EN19" s="734">
        <f t="shared" si="103"/>
        <v>16</v>
      </c>
      <c r="EO19" s="745">
        <f t="shared" si="32"/>
        <v>16</v>
      </c>
      <c r="EP19" s="518" t="s">
        <v>423</v>
      </c>
      <c r="EQ19" s="344">
        <f t="shared" si="33"/>
        <v>1.4336880334002685E-2</v>
      </c>
      <c r="ER19" s="20">
        <f t="shared" si="34"/>
        <v>102560.37941679204</v>
      </c>
      <c r="ES19" s="344">
        <f t="shared" si="35"/>
        <v>1.6949865450004323E-2</v>
      </c>
      <c r="ET19" s="20">
        <f t="shared" si="36"/>
        <v>16348.203315688796</v>
      </c>
      <c r="EU19" s="344">
        <f t="shared" si="37"/>
        <v>4.7581016822726731E-3</v>
      </c>
      <c r="EV19" s="20">
        <f t="shared" si="38"/>
        <v>12295.228118200597</v>
      </c>
      <c r="EW19" s="20">
        <f t="shared" si="39"/>
        <v>131203.81085068145</v>
      </c>
      <c r="EX19" s="344">
        <f t="shared" si="40"/>
        <v>1.2259551971731533E-2</v>
      </c>
      <c r="EY19" s="342">
        <f t="shared" si="41"/>
        <v>1.2518009999999999</v>
      </c>
      <c r="FI19" s="734">
        <f t="shared" si="104"/>
        <v>16</v>
      </c>
      <c r="FJ19" s="735">
        <f t="shared" si="42"/>
        <v>16</v>
      </c>
      <c r="FK19" s="518" t="s">
        <v>423</v>
      </c>
      <c r="FL19" s="344">
        <f t="shared" si="43"/>
        <v>1.4336880334002685E-2</v>
      </c>
      <c r="FM19" s="20">
        <f t="shared" si="44"/>
        <v>269442.00365236873</v>
      </c>
      <c r="FN19" s="342">
        <f t="shared" si="45"/>
        <v>2.5707170000000001</v>
      </c>
      <c r="FR19" s="734">
        <f t="shared" si="105"/>
        <v>16</v>
      </c>
      <c r="FS19" s="735">
        <v>16</v>
      </c>
      <c r="FT19" s="518" t="s">
        <v>423</v>
      </c>
      <c r="FU19" s="20">
        <f t="shared" si="46"/>
        <v>526203.79066619021</v>
      </c>
      <c r="FV19" s="20">
        <f t="shared" si="47"/>
        <v>151935.75652555702</v>
      </c>
      <c r="FW19" s="20">
        <f t="shared" si="48"/>
        <v>385700.42687689309</v>
      </c>
      <c r="FX19" s="20">
        <f t="shared" si="49"/>
        <v>61284.60388519062</v>
      </c>
      <c r="FY19" s="20">
        <f t="shared" si="50"/>
        <v>74412.449253827494</v>
      </c>
      <c r="FZ19" s="20">
        <f t="shared" si="51"/>
        <v>131203.81085068145</v>
      </c>
      <c r="GA19" s="20">
        <f t="shared" si="52"/>
        <v>269442.00365236873</v>
      </c>
      <c r="GB19" s="20">
        <f t="shared" si="53"/>
        <v>1600182.8417107086</v>
      </c>
      <c r="GC19" s="414">
        <f t="shared" si="54"/>
        <v>15.267172</v>
      </c>
      <c r="GG19" s="734">
        <f t="shared" si="79"/>
        <v>16</v>
      </c>
      <c r="GH19" s="735">
        <f t="shared" si="55"/>
        <v>16</v>
      </c>
      <c r="GI19" s="518" t="s">
        <v>423</v>
      </c>
      <c r="GJ19" s="342">
        <f t="shared" si="56"/>
        <v>5.020454</v>
      </c>
      <c r="GK19" s="342">
        <f t="shared" si="57"/>
        <v>1.449603</v>
      </c>
      <c r="GL19" s="342">
        <f t="shared" si="58"/>
        <v>3.679926</v>
      </c>
      <c r="GM19" s="342">
        <f t="shared" si="59"/>
        <v>0.58470999999999995</v>
      </c>
      <c r="GN19" s="342">
        <f t="shared" si="60"/>
        <v>0.70996099999999995</v>
      </c>
      <c r="GO19" s="342">
        <f t="shared" si="61"/>
        <v>1.2518009999999999</v>
      </c>
      <c r="GP19" s="342">
        <f t="shared" si="62"/>
        <v>2.5707170000000001</v>
      </c>
      <c r="GQ19" s="342">
        <f t="shared" si="63"/>
        <v>15.267172</v>
      </c>
      <c r="GR19" s="788">
        <f t="shared" si="80"/>
        <v>10481200</v>
      </c>
      <c r="GS19" s="716"/>
      <c r="GV19" s="718">
        <f t="shared" si="81"/>
        <v>16</v>
      </c>
      <c r="GW19" s="735">
        <v>16</v>
      </c>
      <c r="GX19" s="518" t="s">
        <v>423</v>
      </c>
      <c r="GY19" s="322" t="s">
        <v>397</v>
      </c>
      <c r="GZ19" s="924">
        <f t="shared" si="82"/>
        <v>1600182.8417107086</v>
      </c>
      <c r="HA19" s="788">
        <f t="shared" si="83"/>
        <v>10481200</v>
      </c>
      <c r="HB19" s="922">
        <f t="shared" si="109"/>
        <v>15.267172</v>
      </c>
      <c r="HC19" s="942">
        <f t="shared" si="85"/>
        <v>1600182.8316640002</v>
      </c>
      <c r="HD19" s="858">
        <v>4.8506769118830562E-2</v>
      </c>
      <c r="HE19" s="54"/>
      <c r="HH19" s="54"/>
      <c r="HI19" s="54"/>
      <c r="HJ19" s="54"/>
      <c r="HK19" s="54"/>
      <c r="HL19" s="54"/>
      <c r="HM19" s="54"/>
      <c r="HN19" s="54"/>
      <c r="HQ19" s="734">
        <v>16</v>
      </c>
      <c r="HR19" s="869">
        <v>16</v>
      </c>
      <c r="HS19" s="518" t="s">
        <v>423</v>
      </c>
      <c r="HT19" s="788">
        <f t="shared" si="86"/>
        <v>10481200</v>
      </c>
      <c r="HU19" s="917">
        <f t="shared" si="87"/>
        <v>15.267172</v>
      </c>
      <c r="HV19" s="870"/>
      <c r="HW19" s="768"/>
      <c r="HX19" s="870">
        <v>-2.936674</v>
      </c>
      <c r="HY19" s="769">
        <v>25</v>
      </c>
      <c r="IP19" s="734">
        <v>16</v>
      </c>
      <c r="IQ19" s="869">
        <v>16</v>
      </c>
      <c r="IR19" s="518" t="s">
        <v>423</v>
      </c>
      <c r="IS19" s="913">
        <f t="shared" si="106"/>
        <v>1600182.8316640002</v>
      </c>
      <c r="IT19" s="915">
        <f t="shared" si="88"/>
        <v>10481200</v>
      </c>
      <c r="IU19" s="919">
        <f t="shared" si="89"/>
        <v>15.267172</v>
      </c>
      <c r="IV19" s="904">
        <f t="shared" si="114"/>
        <v>1533490.9103641689</v>
      </c>
      <c r="IW19" s="904">
        <f t="shared" si="91"/>
        <v>8947709.0896358304</v>
      </c>
      <c r="IX19" s="913">
        <f t="shared" si="115"/>
        <v>23002.363655462534</v>
      </c>
      <c r="IY19" s="882">
        <f t="shared" si="93"/>
        <v>1577180.4680085375</v>
      </c>
      <c r="IZ19" s="928">
        <f t="shared" si="116"/>
        <v>15.047708926540258</v>
      </c>
      <c r="JA19" s="928">
        <f t="shared" si="117"/>
        <v>16.54770892654026</v>
      </c>
      <c r="JB19" s="913">
        <f t="shared" si="107"/>
        <v>1600182.8316639999</v>
      </c>
      <c r="JC19" s="883">
        <v>0.22223353732126583</v>
      </c>
      <c r="JG19" s="734">
        <v>16</v>
      </c>
      <c r="JH19" s="869">
        <v>16</v>
      </c>
      <c r="JI19" s="518" t="s">
        <v>423</v>
      </c>
      <c r="JJ19" s="788">
        <f t="shared" si="96"/>
        <v>10481200</v>
      </c>
      <c r="JK19" s="917">
        <f t="shared" si="97"/>
        <v>15.047708926540258</v>
      </c>
      <c r="JL19" s="870">
        <v>18.120999999999999</v>
      </c>
      <c r="JM19" s="768"/>
      <c r="JN19" s="870"/>
      <c r="JO19" s="769">
        <v>25</v>
      </c>
      <c r="JT19" s="936">
        <v>4.4647209265402585</v>
      </c>
      <c r="JU19" s="936">
        <f t="shared" si="64"/>
        <v>0</v>
      </c>
      <c r="JV19" s="13">
        <v>538975887</v>
      </c>
      <c r="JW19" s="13">
        <f t="shared" si="65"/>
        <v>0</v>
      </c>
    </row>
    <row r="20" spans="3:294" x14ac:dyDescent="0.3">
      <c r="J20" s="756">
        <v>17</v>
      </c>
      <c r="K20" s="757">
        <v>17</v>
      </c>
      <c r="L20" s="732" t="s">
        <v>424</v>
      </c>
      <c r="M20" s="904">
        <v>538975887</v>
      </c>
      <c r="N20" s="944">
        <f t="shared" si="66"/>
        <v>0.24467638005563352</v>
      </c>
      <c r="O20" s="753">
        <v>1278.7476178425782</v>
      </c>
      <c r="P20" s="948">
        <f t="shared" si="67"/>
        <v>421487.3048282396</v>
      </c>
      <c r="Q20" s="733">
        <f t="shared" si="68"/>
        <v>0.23890563744909044</v>
      </c>
      <c r="R20" s="758" t="s">
        <v>397</v>
      </c>
      <c r="V20" s="730">
        <f t="shared" si="98"/>
        <v>17</v>
      </c>
      <c r="W20" s="731">
        <f t="shared" si="0"/>
        <v>17</v>
      </c>
      <c r="X20" s="732" t="s">
        <v>424</v>
      </c>
      <c r="Y20" s="924">
        <f t="shared" si="69"/>
        <v>18610964.194507323</v>
      </c>
      <c r="Z20" s="944">
        <f t="shared" si="70"/>
        <v>0.22243845792587522</v>
      </c>
      <c r="AD20" s="730">
        <v>17</v>
      </c>
      <c r="AE20" s="746">
        <v>17</v>
      </c>
      <c r="AF20" s="747" t="s">
        <v>424</v>
      </c>
      <c r="AG20" s="748">
        <v>2.61</v>
      </c>
      <c r="AQ20" s="730">
        <f t="shared" si="71"/>
        <v>17</v>
      </c>
      <c r="AR20" s="783">
        <f t="shared" si="1"/>
        <v>17</v>
      </c>
      <c r="AS20" s="732" t="s">
        <v>424</v>
      </c>
      <c r="AT20" s="732">
        <f t="shared" si="2"/>
        <v>2.61</v>
      </c>
      <c r="AU20" s="784">
        <f t="shared" si="72"/>
        <v>538975887</v>
      </c>
      <c r="AV20" s="784">
        <f t="shared" si="99"/>
        <v>390757.51807499997</v>
      </c>
      <c r="AW20" s="785">
        <f t="shared" si="3"/>
        <v>404372.63767813763</v>
      </c>
      <c r="AX20" s="786">
        <f t="shared" si="4"/>
        <v>18.326441541544678</v>
      </c>
      <c r="AY20" s="379">
        <f t="shared" si="108"/>
        <v>7410711.5054086167</v>
      </c>
      <c r="AZ20" s="51">
        <f t="shared" si="73"/>
        <v>0.20537715023602848</v>
      </c>
      <c r="BA20" s="53">
        <f t="shared" si="5"/>
        <v>1.374962</v>
      </c>
      <c r="BL20" s="756">
        <f t="shared" si="100"/>
        <v>17</v>
      </c>
      <c r="BM20" s="758">
        <f t="shared" si="6"/>
        <v>17</v>
      </c>
      <c r="BN20" s="732" t="s">
        <v>424</v>
      </c>
      <c r="BO20" s="733">
        <f t="shared" si="7"/>
        <v>0.20537715023602848</v>
      </c>
      <c r="BP20" s="379">
        <f t="shared" si="74"/>
        <v>1613360.5218386576</v>
      </c>
      <c r="BQ20" s="733">
        <f t="shared" si="8"/>
        <v>0.24467638005563352</v>
      </c>
      <c r="BR20" s="379">
        <f t="shared" si="75"/>
        <v>1922079.5095972707</v>
      </c>
      <c r="BS20" s="807">
        <f t="shared" si="9"/>
        <v>3535440.0314359283</v>
      </c>
      <c r="BT20" s="808">
        <f t="shared" si="10"/>
        <v>0.65595499999999995</v>
      </c>
      <c r="BW20" s="1"/>
      <c r="BX20" s="10"/>
      <c r="BY20" s="10"/>
      <c r="BZ20" s="10"/>
      <c r="CA20" s="10"/>
      <c r="CB20" s="10"/>
      <c r="CC20" s="10"/>
      <c r="CD20" s="10"/>
      <c r="CE20" s="10"/>
      <c r="CI20" s="730">
        <f t="shared" si="101"/>
        <v>17</v>
      </c>
      <c r="CJ20" s="746">
        <f t="shared" si="12"/>
        <v>17</v>
      </c>
      <c r="CK20" s="732" t="s">
        <v>424</v>
      </c>
      <c r="CL20" s="733">
        <f t="shared" si="13"/>
        <v>0.24467638005563352</v>
      </c>
      <c r="CM20" s="379">
        <f t="shared" si="14"/>
        <v>1310056.0916466003</v>
      </c>
      <c r="CN20" s="733">
        <f t="shared" si="15"/>
        <v>0.23890563744909044</v>
      </c>
      <c r="CO20" s="379">
        <f t="shared" si="16"/>
        <v>4157227.5616527465</v>
      </c>
      <c r="CP20" s="379">
        <f t="shared" si="17"/>
        <v>5467283.6532993466</v>
      </c>
      <c r="CQ20" s="733">
        <f t="shared" si="18"/>
        <v>0.24026346833681389</v>
      </c>
      <c r="CR20" s="808">
        <f t="shared" si="19"/>
        <v>1.014384</v>
      </c>
      <c r="DE20" s="1"/>
      <c r="DH20" s="730">
        <v>17</v>
      </c>
      <c r="DI20" s="840">
        <f t="shared" si="20"/>
        <v>17</v>
      </c>
      <c r="DJ20" s="732" t="s">
        <v>424</v>
      </c>
      <c r="DK20" s="733">
        <f t="shared" si="21"/>
        <v>0.24026346833681389</v>
      </c>
      <c r="DL20" s="379">
        <f t="shared" si="77"/>
        <v>75863.189752184393</v>
      </c>
      <c r="DM20" s="733">
        <f t="shared" si="22"/>
        <v>0.23890563744909044</v>
      </c>
      <c r="DN20" s="379">
        <f t="shared" si="23"/>
        <v>466845.88449809671</v>
      </c>
      <c r="DO20" s="733">
        <f t="shared" si="24"/>
        <v>0.24467638005563352</v>
      </c>
      <c r="DP20" s="379">
        <f t="shared" si="25"/>
        <v>796051.12334745761</v>
      </c>
      <c r="DQ20" s="379">
        <f t="shared" si="78"/>
        <v>1338760.1975977388</v>
      </c>
      <c r="DR20" s="733">
        <f t="shared" si="26"/>
        <v>0.2423824781439842</v>
      </c>
      <c r="DS20" s="808">
        <f t="shared" si="27"/>
        <v>0.24839</v>
      </c>
      <c r="DW20" s="730">
        <f t="shared" si="102"/>
        <v>17</v>
      </c>
      <c r="DX20" s="840">
        <f t="shared" si="28"/>
        <v>17</v>
      </c>
      <c r="DY20" s="732" t="s">
        <v>424</v>
      </c>
      <c r="DZ20" s="733">
        <f t="shared" si="29"/>
        <v>0.23890563744909044</v>
      </c>
      <c r="EA20" s="379">
        <f t="shared" si="30"/>
        <v>858768.80676569324</v>
      </c>
      <c r="EB20" s="808">
        <f t="shared" si="31"/>
        <v>0.159333</v>
      </c>
      <c r="EN20" s="730">
        <f t="shared" si="103"/>
        <v>17</v>
      </c>
      <c r="EO20" s="840">
        <f t="shared" si="32"/>
        <v>17</v>
      </c>
      <c r="EP20" s="732" t="s">
        <v>424</v>
      </c>
      <c r="EQ20" s="733">
        <f t="shared" si="33"/>
        <v>0.22243845792587522</v>
      </c>
      <c r="ER20" s="379">
        <f t="shared" si="34"/>
        <v>1591236.873733093</v>
      </c>
      <c r="ES20" s="733">
        <f t="shared" si="35"/>
        <v>0.24026346833681389</v>
      </c>
      <c r="ET20" s="379">
        <f t="shared" si="36"/>
        <v>231734.93862169795</v>
      </c>
      <c r="EU20" s="733">
        <f t="shared" si="37"/>
        <v>0.24467638005563352</v>
      </c>
      <c r="EV20" s="379">
        <f t="shared" si="38"/>
        <v>632258.85212327866</v>
      </c>
      <c r="EW20" s="379">
        <f t="shared" si="39"/>
        <v>2455230.6644780696</v>
      </c>
      <c r="EX20" s="733">
        <f t="shared" si="40"/>
        <v>0.2294142810227795</v>
      </c>
      <c r="EY20" s="808">
        <f t="shared" si="41"/>
        <v>0.455536</v>
      </c>
      <c r="FI20" s="730">
        <f t="shared" si="104"/>
        <v>17</v>
      </c>
      <c r="FJ20" s="731">
        <f t="shared" si="42"/>
        <v>17</v>
      </c>
      <c r="FK20" s="732" t="s">
        <v>424</v>
      </c>
      <c r="FL20" s="733">
        <f t="shared" si="43"/>
        <v>0.22243845792587522</v>
      </c>
      <c r="FM20" s="379">
        <f t="shared" si="44"/>
        <v>4180425.7548795496</v>
      </c>
      <c r="FN20" s="808">
        <f t="shared" si="45"/>
        <v>0.77562399999999998</v>
      </c>
      <c r="FR20" s="730">
        <f t="shared" si="105"/>
        <v>17</v>
      </c>
      <c r="FS20" s="731">
        <v>17</v>
      </c>
      <c r="FT20" s="732" t="s">
        <v>424</v>
      </c>
      <c r="FU20" s="379">
        <f t="shared" si="46"/>
        <v>7410711.5054086167</v>
      </c>
      <c r="FV20" s="379">
        <f t="shared" si="47"/>
        <v>3535440.0314359283</v>
      </c>
      <c r="FW20" s="379">
        <f t="shared" si="48"/>
        <v>5467283.6532993466</v>
      </c>
      <c r="FX20" s="379">
        <f t="shared" si="49"/>
        <v>1338760.1975977388</v>
      </c>
      <c r="FY20" s="379">
        <f t="shared" si="50"/>
        <v>858768.80676569324</v>
      </c>
      <c r="FZ20" s="379">
        <f t="shared" si="51"/>
        <v>2455230.6644780696</v>
      </c>
      <c r="GA20" s="379">
        <f t="shared" si="52"/>
        <v>4180425.7548795496</v>
      </c>
      <c r="GB20" s="379">
        <f t="shared" si="53"/>
        <v>25246620.613864943</v>
      </c>
      <c r="GC20" s="852">
        <f t="shared" si="54"/>
        <v>4.6841840000000001</v>
      </c>
      <c r="GG20" s="730">
        <f t="shared" si="79"/>
        <v>17</v>
      </c>
      <c r="GH20" s="731">
        <f t="shared" si="55"/>
        <v>17</v>
      </c>
      <c r="GI20" s="732" t="s">
        <v>424</v>
      </c>
      <c r="GJ20" s="808">
        <f t="shared" si="56"/>
        <v>1.374962</v>
      </c>
      <c r="GK20" s="808">
        <f t="shared" si="57"/>
        <v>0.65595499999999995</v>
      </c>
      <c r="GL20" s="808">
        <f t="shared" si="58"/>
        <v>1.014384</v>
      </c>
      <c r="GM20" s="808">
        <f t="shared" si="59"/>
        <v>0.24839</v>
      </c>
      <c r="GN20" s="808">
        <f t="shared" si="60"/>
        <v>0.159333</v>
      </c>
      <c r="GO20" s="808">
        <f t="shared" si="61"/>
        <v>0.455536</v>
      </c>
      <c r="GP20" s="808">
        <f t="shared" si="62"/>
        <v>0.77562399999999998</v>
      </c>
      <c r="GQ20" s="808">
        <f t="shared" si="63"/>
        <v>4.6841840000000001</v>
      </c>
      <c r="GR20" s="784">
        <f t="shared" si="80"/>
        <v>538975887</v>
      </c>
      <c r="GS20" s="716"/>
      <c r="GV20" s="717">
        <f t="shared" si="81"/>
        <v>17</v>
      </c>
      <c r="GW20" s="731">
        <v>17</v>
      </c>
      <c r="GX20" s="732" t="s">
        <v>424</v>
      </c>
      <c r="GY20" s="758" t="s">
        <v>397</v>
      </c>
      <c r="GZ20" s="906">
        <f t="shared" si="82"/>
        <v>25246620.613864943</v>
      </c>
      <c r="HA20" s="784">
        <f t="shared" si="83"/>
        <v>538975887</v>
      </c>
      <c r="HB20" s="922">
        <f t="shared" si="109"/>
        <v>4.6841840000000001</v>
      </c>
      <c r="HC20" s="942">
        <f t="shared" si="85"/>
        <v>25246622.262712084</v>
      </c>
      <c r="HD20" s="857">
        <v>0.65198250114917755</v>
      </c>
      <c r="HE20" s="54"/>
      <c r="HH20" s="54"/>
      <c r="HI20" s="54"/>
      <c r="HJ20" s="54"/>
      <c r="HK20" s="54"/>
      <c r="HL20" s="54"/>
      <c r="HM20" s="54"/>
      <c r="HN20" s="54"/>
      <c r="HQ20" s="730">
        <v>17</v>
      </c>
      <c r="HR20" s="867">
        <v>17</v>
      </c>
      <c r="HS20" s="732" t="s">
        <v>424</v>
      </c>
      <c r="HT20" s="784">
        <f t="shared" si="86"/>
        <v>538975887</v>
      </c>
      <c r="HU20" s="917">
        <f t="shared" si="87"/>
        <v>4.6841840000000001</v>
      </c>
      <c r="HV20" s="868"/>
      <c r="HW20" s="765"/>
      <c r="HX20" s="868">
        <v>-0.96015999999999924</v>
      </c>
      <c r="HY20" s="766">
        <v>10</v>
      </c>
      <c r="IP20" s="730">
        <v>17</v>
      </c>
      <c r="IQ20" s="867">
        <v>17</v>
      </c>
      <c r="IR20" s="732" t="s">
        <v>424</v>
      </c>
      <c r="IS20" s="913">
        <f t="shared" si="106"/>
        <v>25246622.262712084</v>
      </c>
      <c r="IT20" s="915">
        <f t="shared" si="88"/>
        <v>538975887</v>
      </c>
      <c r="IU20" s="918">
        <f t="shared" si="89"/>
        <v>4.6841840000000001</v>
      </c>
      <c r="IV20" s="904">
        <f t="shared" si="114"/>
        <v>78856869.787807271</v>
      </c>
      <c r="IW20" s="904">
        <f t="shared" si="91"/>
        <v>460119017.21219271</v>
      </c>
      <c r="IX20" s="913">
        <f t="shared" si="115"/>
        <v>1182853.046817109</v>
      </c>
      <c r="IY20" s="881">
        <f t="shared" si="93"/>
        <v>24063769.215894975</v>
      </c>
      <c r="IZ20" s="928">
        <f t="shared" si="116"/>
        <v>4.4647209265402585</v>
      </c>
      <c r="JA20" s="928">
        <f t="shared" si="117"/>
        <v>5.9647209265402585</v>
      </c>
      <c r="JB20" s="913">
        <f t="shared" si="107"/>
        <v>25246622.262712087</v>
      </c>
      <c r="JC20" s="852">
        <v>0.22223321089288017</v>
      </c>
      <c r="JG20" s="730">
        <v>17</v>
      </c>
      <c r="JH20" s="867">
        <v>17</v>
      </c>
      <c r="JI20" s="732" t="s">
        <v>424</v>
      </c>
      <c r="JJ20" s="784">
        <f t="shared" si="96"/>
        <v>538975887</v>
      </c>
      <c r="JK20" s="917">
        <f t="shared" si="97"/>
        <v>4.4647209265402585</v>
      </c>
      <c r="JL20" s="868">
        <v>5.4630000000000001</v>
      </c>
      <c r="JM20" s="765"/>
      <c r="JN20" s="868"/>
      <c r="JO20" s="766">
        <v>10</v>
      </c>
      <c r="JT20" s="936">
        <v>12.928700926540257</v>
      </c>
      <c r="JU20" s="936">
        <f t="shared" si="64"/>
        <v>0</v>
      </c>
      <c r="JV20" s="13">
        <v>54165023</v>
      </c>
      <c r="JW20" s="13">
        <f t="shared" si="65"/>
        <v>0</v>
      </c>
    </row>
    <row r="21" spans="3:294" x14ac:dyDescent="0.3">
      <c r="J21" s="338">
        <v>18</v>
      </c>
      <c r="K21" s="759">
        <v>18</v>
      </c>
      <c r="L21" s="518" t="s">
        <v>425</v>
      </c>
      <c r="M21" s="904">
        <v>54165023</v>
      </c>
      <c r="N21" s="943">
        <f t="shared" si="66"/>
        <v>2.4589043912589974E-2</v>
      </c>
      <c r="O21" s="455">
        <v>358.03166090709647</v>
      </c>
      <c r="P21" s="948">
        <f t="shared" si="67"/>
        <v>151285.56749078949</v>
      </c>
      <c r="Q21" s="659">
        <f t="shared" si="68"/>
        <v>8.5751040480241958E-2</v>
      </c>
      <c r="R21" s="322" t="s">
        <v>397</v>
      </c>
      <c r="V21" s="734">
        <f t="shared" si="98"/>
        <v>18</v>
      </c>
      <c r="W21" s="735">
        <f t="shared" si="0"/>
        <v>18</v>
      </c>
      <c r="X21" s="518" t="s">
        <v>425</v>
      </c>
      <c r="Y21" s="924">
        <f t="shared" si="69"/>
        <v>5334878.3642114941</v>
      </c>
      <c r="Z21" s="943">
        <f t="shared" si="70"/>
        <v>6.37625275163093E-2</v>
      </c>
      <c r="AD21" s="734">
        <v>18</v>
      </c>
      <c r="AE21" s="146">
        <v>18</v>
      </c>
      <c r="AF21" s="347" t="s">
        <v>425</v>
      </c>
      <c r="AG21" s="369">
        <v>8.4600000000000009</v>
      </c>
      <c r="AQ21" s="734">
        <f t="shared" si="71"/>
        <v>18</v>
      </c>
      <c r="AR21" s="787">
        <f t="shared" si="1"/>
        <v>18</v>
      </c>
      <c r="AS21" s="518" t="s">
        <v>425</v>
      </c>
      <c r="AT21" s="518">
        <f t="shared" si="2"/>
        <v>8.4600000000000009</v>
      </c>
      <c r="AU21" s="788">
        <f t="shared" si="72"/>
        <v>54165023</v>
      </c>
      <c r="AV21" s="788">
        <f>AU21*AT21/3600</f>
        <v>127287.80405000001</v>
      </c>
      <c r="AW21" s="789">
        <f t="shared" si="3"/>
        <v>131722.87847850754</v>
      </c>
      <c r="AX21" s="790">
        <f t="shared" si="4"/>
        <v>18.326441541544678</v>
      </c>
      <c r="AY21" s="358">
        <f t="shared" si="108"/>
        <v>2414011.632120362</v>
      </c>
      <c r="AZ21" s="35">
        <f t="shared" si="73"/>
        <v>6.6900840665523528E-2</v>
      </c>
      <c r="BA21" s="55">
        <f t="shared" si="5"/>
        <v>4.456772</v>
      </c>
      <c r="BL21" s="338">
        <f t="shared" si="100"/>
        <v>18</v>
      </c>
      <c r="BM21" s="322">
        <f t="shared" si="6"/>
        <v>18</v>
      </c>
      <c r="BN21" s="518" t="s">
        <v>425</v>
      </c>
      <c r="BO21" s="659">
        <f t="shared" si="7"/>
        <v>6.6900840665523528E-2</v>
      </c>
      <c r="BP21" s="358">
        <f t="shared" si="74"/>
        <v>525546.17241270537</v>
      </c>
      <c r="BQ21" s="659">
        <f t="shared" si="8"/>
        <v>2.4589043912589974E-2</v>
      </c>
      <c r="BR21" s="358">
        <f t="shared" si="75"/>
        <v>193161.66707317816</v>
      </c>
      <c r="BS21" s="809">
        <f t="shared" si="9"/>
        <v>718707.83948588348</v>
      </c>
      <c r="BT21" s="810">
        <f>IF($AU21=0,0,ROUND(IF(VLOOKUP(BM21,$AR$4:$AU$27,$BA$30,FALSE)&lt;&gt;0,BS21/VLOOKUP(BM21,$AR$4:$AU$27,$BA$30,FALSE)*100,""),6))</f>
        <v>1.326886</v>
      </c>
      <c r="BW21" s="1"/>
      <c r="BX21" s="10"/>
      <c r="BY21" s="10"/>
      <c r="BZ21" s="10"/>
      <c r="CA21" s="10"/>
      <c r="CB21" s="10"/>
      <c r="CC21" s="10"/>
      <c r="CD21" s="10"/>
      <c r="CE21" s="10"/>
      <c r="CI21" s="734">
        <f t="shared" si="101"/>
        <v>18</v>
      </c>
      <c r="CJ21" s="146">
        <f t="shared" si="12"/>
        <v>18</v>
      </c>
      <c r="CK21" s="518" t="s">
        <v>425</v>
      </c>
      <c r="CL21" s="344">
        <f t="shared" si="13"/>
        <v>2.4589043912589974E-2</v>
      </c>
      <c r="CM21" s="20">
        <f t="shared" si="14"/>
        <v>131655.64554343079</v>
      </c>
      <c r="CN21" s="344">
        <f t="shared" si="15"/>
        <v>8.5751040480241958E-2</v>
      </c>
      <c r="CO21" s="20">
        <f t="shared" si="16"/>
        <v>1492164.825959068</v>
      </c>
      <c r="CP21" s="20">
        <f t="shared" si="17"/>
        <v>1623820.4715024987</v>
      </c>
      <c r="CQ21" s="344">
        <f t="shared" si="18"/>
        <v>7.1359886038484546E-2</v>
      </c>
      <c r="CR21" s="342">
        <f t="shared" si="19"/>
        <v>2.997913</v>
      </c>
      <c r="DE21" s="1"/>
      <c r="DH21" s="734">
        <v>18</v>
      </c>
      <c r="DI21" s="745">
        <f t="shared" si="20"/>
        <v>18</v>
      </c>
      <c r="DJ21" s="518" t="s">
        <v>425</v>
      </c>
      <c r="DK21" s="344">
        <f t="shared" si="21"/>
        <v>7.1359886038484546E-2</v>
      </c>
      <c r="DL21" s="20">
        <f t="shared" si="77"/>
        <v>22531.883905225055</v>
      </c>
      <c r="DM21" s="344">
        <f t="shared" si="22"/>
        <v>8.5751040480241958E-2</v>
      </c>
      <c r="DN21" s="20">
        <f t="shared" si="23"/>
        <v>167566.24400778895</v>
      </c>
      <c r="DO21" s="344">
        <f t="shared" si="24"/>
        <v>2.4589043912589974E-2</v>
      </c>
      <c r="DP21" s="20">
        <f t="shared" si="25"/>
        <v>80000.104726931648</v>
      </c>
      <c r="DQ21" s="20">
        <f t="shared" si="78"/>
        <v>270098.23263994564</v>
      </c>
      <c r="DR21" s="344">
        <f t="shared" si="26"/>
        <v>4.8901273795750738E-2</v>
      </c>
      <c r="DS21" s="342">
        <f t="shared" si="27"/>
        <v>0.49865799999999999</v>
      </c>
      <c r="DW21" s="734">
        <f t="shared" si="102"/>
        <v>18</v>
      </c>
      <c r="DX21" s="745">
        <f t="shared" si="28"/>
        <v>18</v>
      </c>
      <c r="DY21" s="518" t="s">
        <v>425</v>
      </c>
      <c r="DZ21" s="344">
        <f t="shared" si="29"/>
        <v>8.5751040480241958E-2</v>
      </c>
      <c r="EA21" s="20">
        <f t="shared" si="30"/>
        <v>308240.18846280436</v>
      </c>
      <c r="EB21" s="342">
        <f t="shared" si="31"/>
        <v>0.56907600000000003</v>
      </c>
      <c r="EN21" s="734">
        <f t="shared" si="103"/>
        <v>18</v>
      </c>
      <c r="EO21" s="745">
        <f t="shared" si="32"/>
        <v>18</v>
      </c>
      <c r="EP21" s="518" t="s">
        <v>425</v>
      </c>
      <c r="EQ21" s="344">
        <f t="shared" si="33"/>
        <v>6.37625275163093E-2</v>
      </c>
      <c r="ER21" s="20">
        <f t="shared" si="34"/>
        <v>456131.93821089616</v>
      </c>
      <c r="ES21" s="344">
        <f t="shared" si="35"/>
        <v>7.1359886038484546E-2</v>
      </c>
      <c r="ET21" s="20">
        <f t="shared" si="36"/>
        <v>68826.854642744671</v>
      </c>
      <c r="EU21" s="344">
        <f t="shared" si="37"/>
        <v>2.4589043912589974E-2</v>
      </c>
      <c r="EV21" s="20">
        <f t="shared" si="38"/>
        <v>63539.605561632459</v>
      </c>
      <c r="EW21" s="20">
        <f t="shared" si="39"/>
        <v>588498.39841527329</v>
      </c>
      <c r="EX21" s="344">
        <f t="shared" si="40"/>
        <v>5.4988697766283984E-2</v>
      </c>
      <c r="EY21" s="342">
        <f t="shared" si="41"/>
        <v>1.086492</v>
      </c>
      <c r="FI21" s="734">
        <f t="shared" si="104"/>
        <v>18</v>
      </c>
      <c r="FJ21" s="735">
        <f t="shared" si="42"/>
        <v>18</v>
      </c>
      <c r="FK21" s="518" t="s">
        <v>425</v>
      </c>
      <c r="FL21" s="344">
        <f t="shared" si="43"/>
        <v>6.37625275163093E-2</v>
      </c>
      <c r="FM21" s="20">
        <f t="shared" si="44"/>
        <v>1198329.2579479276</v>
      </c>
      <c r="FN21" s="342">
        <f t="shared" si="45"/>
        <v>2.212367</v>
      </c>
      <c r="FR21" s="734">
        <f t="shared" si="105"/>
        <v>18</v>
      </c>
      <c r="FS21" s="735">
        <v>18</v>
      </c>
      <c r="FT21" s="518" t="s">
        <v>425</v>
      </c>
      <c r="FU21" s="20">
        <f t="shared" si="46"/>
        <v>2414011.632120362</v>
      </c>
      <c r="FV21" s="20">
        <f t="shared" si="47"/>
        <v>718707.83948588348</v>
      </c>
      <c r="FW21" s="20">
        <f t="shared" si="48"/>
        <v>1623820.4715024987</v>
      </c>
      <c r="FX21" s="20">
        <f t="shared" si="49"/>
        <v>270098.23263994564</v>
      </c>
      <c r="FY21" s="20">
        <f t="shared" si="50"/>
        <v>308240.18846280436</v>
      </c>
      <c r="FZ21" s="20">
        <f t="shared" si="51"/>
        <v>588498.39841527329</v>
      </c>
      <c r="GA21" s="20">
        <f t="shared" si="52"/>
        <v>1198329.2579479276</v>
      </c>
      <c r="GB21" s="20">
        <f t="shared" si="53"/>
        <v>7121706.0205746945</v>
      </c>
      <c r="GC21" s="414">
        <f t="shared" si="54"/>
        <v>13.148164</v>
      </c>
      <c r="GG21" s="734">
        <f t="shared" si="79"/>
        <v>18</v>
      </c>
      <c r="GH21" s="735">
        <f t="shared" si="55"/>
        <v>18</v>
      </c>
      <c r="GI21" s="518" t="s">
        <v>425</v>
      </c>
      <c r="GJ21" s="342">
        <f t="shared" si="56"/>
        <v>4.456772</v>
      </c>
      <c r="GK21" s="342">
        <f t="shared" si="57"/>
        <v>1.326886</v>
      </c>
      <c r="GL21" s="342">
        <f t="shared" si="58"/>
        <v>2.997913</v>
      </c>
      <c r="GM21" s="342">
        <f t="shared" si="59"/>
        <v>0.49865799999999999</v>
      </c>
      <c r="GN21" s="342">
        <f t="shared" si="60"/>
        <v>0.56907600000000003</v>
      </c>
      <c r="GO21" s="342">
        <f t="shared" si="61"/>
        <v>1.086492</v>
      </c>
      <c r="GP21" s="342">
        <f t="shared" si="62"/>
        <v>2.212367</v>
      </c>
      <c r="GQ21" s="342">
        <f t="shared" si="63"/>
        <v>13.148164</v>
      </c>
      <c r="GR21" s="788">
        <f t="shared" si="80"/>
        <v>54165023</v>
      </c>
      <c r="GS21" s="716"/>
      <c r="GV21" s="718">
        <f t="shared" si="81"/>
        <v>18</v>
      </c>
      <c r="GW21" s="735">
        <v>18</v>
      </c>
      <c r="GX21" s="518" t="s">
        <v>425</v>
      </c>
      <c r="GY21" s="322" t="s">
        <v>397</v>
      </c>
      <c r="GZ21" s="924">
        <f t="shared" si="82"/>
        <v>7121706.0205746945</v>
      </c>
      <c r="HA21" s="788">
        <f t="shared" si="83"/>
        <v>54165023</v>
      </c>
      <c r="HB21" s="922">
        <f t="shared" si="109"/>
        <v>13.148164</v>
      </c>
      <c r="HC21" s="942">
        <f t="shared" si="85"/>
        <v>7121706.0546777202</v>
      </c>
      <c r="HD21" s="858">
        <v>-0.1446945620700717</v>
      </c>
      <c r="HE21" s="54"/>
      <c r="HH21" s="54"/>
      <c r="HI21" s="54"/>
      <c r="HJ21" s="54"/>
      <c r="HK21" s="54"/>
      <c r="HL21" s="54"/>
      <c r="HM21" s="54"/>
      <c r="HN21" s="54"/>
      <c r="HQ21" s="734">
        <v>18</v>
      </c>
      <c r="HR21" s="869">
        <v>18</v>
      </c>
      <c r="HS21" s="518" t="s">
        <v>425</v>
      </c>
      <c r="HT21" s="788">
        <f t="shared" si="86"/>
        <v>54165023</v>
      </c>
      <c r="HU21" s="917">
        <f t="shared" si="87"/>
        <v>13.148164</v>
      </c>
      <c r="HV21" s="870"/>
      <c r="HW21" s="768"/>
      <c r="HX21" s="870">
        <v>-2.6237379999999995</v>
      </c>
      <c r="HY21" s="769">
        <v>25</v>
      </c>
      <c r="IP21" s="734">
        <v>18</v>
      </c>
      <c r="IQ21" s="869">
        <v>18</v>
      </c>
      <c r="IR21" s="518" t="s">
        <v>425</v>
      </c>
      <c r="IS21" s="913">
        <f t="shared" si="106"/>
        <v>7121706.0546777202</v>
      </c>
      <c r="IT21" s="915">
        <f t="shared" si="88"/>
        <v>54165023</v>
      </c>
      <c r="IU21" s="919">
        <f t="shared" si="89"/>
        <v>13.148164</v>
      </c>
      <c r="IV21" s="904">
        <f t="shared" si="114"/>
        <v>7924814.9477317641</v>
      </c>
      <c r="IW21" s="904">
        <f t="shared" si="91"/>
        <v>46240208.052268237</v>
      </c>
      <c r="IX21" s="913">
        <f t="shared" si="115"/>
        <v>118872.22421597646</v>
      </c>
      <c r="IY21" s="882">
        <f t="shared" si="93"/>
        <v>7002833.8304617433</v>
      </c>
      <c r="IZ21" s="928">
        <f t="shared" si="116"/>
        <v>12.928700926540257</v>
      </c>
      <c r="JA21" s="928">
        <f t="shared" si="117"/>
        <v>14.428700926540257</v>
      </c>
      <c r="JB21" s="913">
        <f t="shared" si="107"/>
        <v>7121706.0546777202</v>
      </c>
      <c r="JC21" s="883">
        <v>0.22223282548291756</v>
      </c>
      <c r="JG21" s="734">
        <v>18</v>
      </c>
      <c r="JH21" s="869">
        <v>18</v>
      </c>
      <c r="JI21" s="518" t="s">
        <v>425</v>
      </c>
      <c r="JJ21" s="788">
        <f t="shared" si="96"/>
        <v>54165023</v>
      </c>
      <c r="JK21" s="917">
        <f t="shared" si="97"/>
        <v>12.928700926540257</v>
      </c>
      <c r="JL21" s="870">
        <v>15.667</v>
      </c>
      <c r="JM21" s="768"/>
      <c r="JN21" s="870"/>
      <c r="JO21" s="769">
        <v>25</v>
      </c>
      <c r="JT21" s="936">
        <v>230.53352092654026</v>
      </c>
      <c r="JU21" s="936">
        <f t="shared" si="64"/>
        <v>0</v>
      </c>
      <c r="JV21" s="13">
        <v>2154</v>
      </c>
      <c r="JW21" s="13">
        <f t="shared" si="65"/>
        <v>0</v>
      </c>
    </row>
    <row r="22" spans="3:294" x14ac:dyDescent="0.3">
      <c r="J22" s="756">
        <v>19</v>
      </c>
      <c r="K22" s="757">
        <v>19</v>
      </c>
      <c r="L22" s="732" t="s">
        <v>426</v>
      </c>
      <c r="M22" s="904">
        <v>2154</v>
      </c>
      <c r="N22" s="944">
        <f t="shared" si="66"/>
        <v>9.7784137537832857E-7</v>
      </c>
      <c r="O22" s="753">
        <v>14.771428571428572</v>
      </c>
      <c r="P22" s="948">
        <f t="shared" si="67"/>
        <v>145.82205029013539</v>
      </c>
      <c r="Q22" s="733">
        <f t="shared" si="68"/>
        <v>8.2654232949898315E-5</v>
      </c>
      <c r="R22" s="758" t="s">
        <v>397</v>
      </c>
      <c r="V22" s="730">
        <f t="shared" si="98"/>
        <v>19</v>
      </c>
      <c r="W22" s="731">
        <f t="shared" si="0"/>
        <v>19</v>
      </c>
      <c r="X22" s="732" t="s">
        <v>426</v>
      </c>
      <c r="Y22" s="924">
        <f t="shared" si="69"/>
        <v>3745.2309599785149</v>
      </c>
      <c r="Z22" s="944">
        <f t="shared" si="70"/>
        <v>4.476304347303699E-5</v>
      </c>
      <c r="AD22" s="730">
        <v>19</v>
      </c>
      <c r="AE22" s="746">
        <v>19</v>
      </c>
      <c r="AF22" s="747" t="s">
        <v>426</v>
      </c>
      <c r="AG22" s="748">
        <v>131.15</v>
      </c>
      <c r="AQ22" s="730">
        <f t="shared" si="71"/>
        <v>19</v>
      </c>
      <c r="AR22" s="783">
        <f t="shared" si="1"/>
        <v>19</v>
      </c>
      <c r="AS22" s="732" t="s">
        <v>426</v>
      </c>
      <c r="AT22" s="732">
        <f t="shared" si="2"/>
        <v>131.15</v>
      </c>
      <c r="AU22" s="784">
        <f t="shared" si="72"/>
        <v>2154</v>
      </c>
      <c r="AV22" s="784">
        <f t="shared" si="99"/>
        <v>78.47141666666667</v>
      </c>
      <c r="AW22" s="785">
        <f t="shared" si="3"/>
        <v>81.205587281240128</v>
      </c>
      <c r="AX22" s="786">
        <f t="shared" si="4"/>
        <v>18.326441541544678</v>
      </c>
      <c r="AY22" s="379">
        <f t="shared" si="108"/>
        <v>1488.2094481564513</v>
      </c>
      <c r="AZ22" s="51">
        <f t="shared" si="73"/>
        <v>4.1243572252628359E-5</v>
      </c>
      <c r="BA22" s="53">
        <f t="shared" si="5"/>
        <v>69.090503999999996</v>
      </c>
      <c r="BL22" s="756">
        <f t="shared" si="100"/>
        <v>19</v>
      </c>
      <c r="BM22" s="758">
        <f t="shared" si="6"/>
        <v>19</v>
      </c>
      <c r="BN22" s="732" t="s">
        <v>426</v>
      </c>
      <c r="BO22" s="733">
        <f t="shared" si="7"/>
        <v>4.1243572252628359E-5</v>
      </c>
      <c r="BP22" s="379">
        <f t="shared" si="74"/>
        <v>323.99296209689982</v>
      </c>
      <c r="BQ22" s="733">
        <f t="shared" si="8"/>
        <v>9.7784137537832857E-7</v>
      </c>
      <c r="BR22" s="379">
        <f t="shared" si="75"/>
        <v>7.6815296630747438</v>
      </c>
      <c r="BS22" s="807">
        <f t="shared" si="9"/>
        <v>331.67449175997456</v>
      </c>
      <c r="BT22" s="808">
        <f t="shared" si="10"/>
        <v>15.398073</v>
      </c>
      <c r="BW22" s="1"/>
      <c r="BX22" s="10"/>
      <c r="BY22" s="10"/>
      <c r="BZ22" s="10"/>
      <c r="CA22" s="10"/>
      <c r="CB22" s="10"/>
      <c r="CC22" s="10"/>
      <c r="CD22" s="10"/>
      <c r="CE22" s="10"/>
      <c r="CI22" s="730">
        <f t="shared" si="101"/>
        <v>19</v>
      </c>
      <c r="CJ22" s="746">
        <f t="shared" si="12"/>
        <v>19</v>
      </c>
      <c r="CK22" s="732" t="s">
        <v>426</v>
      </c>
      <c r="CL22" s="733">
        <f t="shared" si="13"/>
        <v>9.7784137537832857E-7</v>
      </c>
      <c r="CM22" s="379">
        <f t="shared" si="14"/>
        <v>5.2355975275880509</v>
      </c>
      <c r="CN22" s="733">
        <f t="shared" si="15"/>
        <v>8.2654232949898315E-5</v>
      </c>
      <c r="CO22" s="379">
        <f t="shared" si="16"/>
        <v>1438.276881933378</v>
      </c>
      <c r="CP22" s="379">
        <f t="shared" si="17"/>
        <v>1443.512479460966</v>
      </c>
      <c r="CQ22" s="733">
        <f t="shared" si="18"/>
        <v>6.3436129693667488E-5</v>
      </c>
      <c r="CR22" s="808">
        <f t="shared" si="19"/>
        <v>67.015434999999997</v>
      </c>
      <c r="DE22" s="1"/>
      <c r="DH22" s="730">
        <v>19</v>
      </c>
      <c r="DI22" s="840">
        <f t="shared" si="20"/>
        <v>19</v>
      </c>
      <c r="DJ22" s="732" t="s">
        <v>426</v>
      </c>
      <c r="DK22" s="733">
        <f t="shared" si="21"/>
        <v>6.3436129693667488E-5</v>
      </c>
      <c r="DL22" s="379">
        <f t="shared" si="77"/>
        <v>20.02995785172179</v>
      </c>
      <c r="DM22" s="733">
        <f t="shared" si="22"/>
        <v>8.2654232949898315E-5</v>
      </c>
      <c r="DN22" s="379">
        <f t="shared" si="23"/>
        <v>161.51476750827888</v>
      </c>
      <c r="DO22" s="733">
        <f t="shared" si="24"/>
        <v>9.7784137537832857E-7</v>
      </c>
      <c r="DP22" s="379">
        <f t="shared" si="25"/>
        <v>3.1813930104268722</v>
      </c>
      <c r="DQ22" s="379">
        <f t="shared" si="78"/>
        <v>184.72611837042751</v>
      </c>
      <c r="DR22" s="733">
        <f t="shared" si="26"/>
        <v>3.3444656054822949E-5</v>
      </c>
      <c r="DS22" s="808">
        <f t="shared" si="27"/>
        <v>8.5759570000000007</v>
      </c>
      <c r="DW22" s="730">
        <f t="shared" si="102"/>
        <v>19</v>
      </c>
      <c r="DX22" s="840">
        <f t="shared" si="28"/>
        <v>19</v>
      </c>
      <c r="DY22" s="732" t="s">
        <v>426</v>
      </c>
      <c r="DZ22" s="733">
        <f t="shared" si="29"/>
        <v>8.2654232949898315E-5</v>
      </c>
      <c r="EA22" s="379">
        <f t="shared" si="30"/>
        <v>297.10842223069551</v>
      </c>
      <c r="EB22" s="808">
        <f t="shared" si="31"/>
        <v>13.793334</v>
      </c>
      <c r="EN22" s="730">
        <f t="shared" si="103"/>
        <v>19</v>
      </c>
      <c r="EO22" s="840">
        <f t="shared" si="32"/>
        <v>19</v>
      </c>
      <c r="EP22" s="732" t="s">
        <v>426</v>
      </c>
      <c r="EQ22" s="733">
        <f t="shared" si="33"/>
        <v>4.476304347303699E-5</v>
      </c>
      <c r="ER22" s="379">
        <f t="shared" si="34"/>
        <v>320.21713339943193</v>
      </c>
      <c r="ES22" s="733">
        <f t="shared" si="35"/>
        <v>6.3436129693667488E-5</v>
      </c>
      <c r="ET22" s="379">
        <f t="shared" si="36"/>
        <v>61.18436449253435</v>
      </c>
      <c r="EU22" s="733">
        <f t="shared" si="37"/>
        <v>9.7784137537832857E-7</v>
      </c>
      <c r="EV22" s="379">
        <f t="shared" si="38"/>
        <v>2.5268024049349394</v>
      </c>
      <c r="EW22" s="379">
        <f t="shared" si="39"/>
        <v>383.92830029690123</v>
      </c>
      <c r="EX22" s="733">
        <f t="shared" si="40"/>
        <v>3.5873873787591782E-5</v>
      </c>
      <c r="EY22" s="808">
        <f t="shared" si="41"/>
        <v>17.823969000000002</v>
      </c>
      <c r="FI22" s="730">
        <f t="shared" si="104"/>
        <v>19</v>
      </c>
      <c r="FJ22" s="731">
        <f t="shared" si="42"/>
        <v>19</v>
      </c>
      <c r="FK22" s="732" t="s">
        <v>426</v>
      </c>
      <c r="FL22" s="733">
        <f t="shared" si="43"/>
        <v>4.476304347303699E-5</v>
      </c>
      <c r="FM22" s="379">
        <f t="shared" si="44"/>
        <v>841.26001207864408</v>
      </c>
      <c r="FN22" s="808">
        <f t="shared" si="45"/>
        <v>39.055711000000002</v>
      </c>
      <c r="FR22" s="730">
        <f t="shared" si="105"/>
        <v>19</v>
      </c>
      <c r="FS22" s="731">
        <v>19</v>
      </c>
      <c r="FT22" s="732" t="s">
        <v>426</v>
      </c>
      <c r="FU22" s="379">
        <f t="shared" si="46"/>
        <v>1488.2094481564513</v>
      </c>
      <c r="FV22" s="379">
        <f t="shared" si="47"/>
        <v>331.67449175997456</v>
      </c>
      <c r="FW22" s="379">
        <f t="shared" si="48"/>
        <v>1443.512479460966</v>
      </c>
      <c r="FX22" s="379">
        <f t="shared" si="49"/>
        <v>184.72611837042751</v>
      </c>
      <c r="FY22" s="379">
        <f t="shared" si="50"/>
        <v>297.10842223069551</v>
      </c>
      <c r="FZ22" s="379">
        <f t="shared" si="51"/>
        <v>383.92830029690123</v>
      </c>
      <c r="GA22" s="379">
        <f t="shared" si="52"/>
        <v>841.26001207864408</v>
      </c>
      <c r="GB22" s="379">
        <f t="shared" si="53"/>
        <v>4970.41927235406</v>
      </c>
      <c r="GC22" s="852">
        <f t="shared" si="54"/>
        <v>230.752984</v>
      </c>
      <c r="GG22" s="730">
        <f t="shared" si="79"/>
        <v>19</v>
      </c>
      <c r="GH22" s="731">
        <f t="shared" si="55"/>
        <v>19</v>
      </c>
      <c r="GI22" s="732" t="s">
        <v>426</v>
      </c>
      <c r="GJ22" s="808">
        <f t="shared" si="56"/>
        <v>69.090503999999996</v>
      </c>
      <c r="GK22" s="808">
        <f t="shared" si="57"/>
        <v>15.398073</v>
      </c>
      <c r="GL22" s="808">
        <f t="shared" si="58"/>
        <v>67.015434999999997</v>
      </c>
      <c r="GM22" s="808">
        <f t="shared" si="59"/>
        <v>8.5759570000000007</v>
      </c>
      <c r="GN22" s="808">
        <f t="shared" si="60"/>
        <v>13.793334</v>
      </c>
      <c r="GO22" s="808">
        <f t="shared" si="61"/>
        <v>17.823969000000002</v>
      </c>
      <c r="GP22" s="808">
        <f t="shared" si="62"/>
        <v>39.055711000000002</v>
      </c>
      <c r="GQ22" s="808">
        <f t="shared" si="63"/>
        <v>230.752984</v>
      </c>
      <c r="GR22" s="784">
        <f t="shared" si="80"/>
        <v>2154</v>
      </c>
      <c r="GS22" s="716"/>
      <c r="GV22" s="717">
        <f t="shared" si="81"/>
        <v>19</v>
      </c>
      <c r="GW22" s="731">
        <v>19</v>
      </c>
      <c r="GX22" s="732" t="s">
        <v>426</v>
      </c>
      <c r="GY22" s="758" t="s">
        <v>397</v>
      </c>
      <c r="GZ22" s="906">
        <f t="shared" si="82"/>
        <v>4970.41927235406</v>
      </c>
      <c r="HA22" s="784">
        <f t="shared" si="83"/>
        <v>2154</v>
      </c>
      <c r="HB22" s="922">
        <f t="shared" si="109"/>
        <v>230.752984</v>
      </c>
      <c r="HC22" s="942">
        <f t="shared" si="85"/>
        <v>4970.41927536</v>
      </c>
      <c r="HD22" s="857">
        <v>-1.0707106412155554E-5</v>
      </c>
      <c r="HE22" s="54"/>
      <c r="HH22" s="54"/>
      <c r="HI22" s="54"/>
      <c r="HJ22" s="54"/>
      <c r="HK22" s="54"/>
      <c r="HL22" s="54"/>
      <c r="HM22" s="54"/>
      <c r="HN22" s="54"/>
      <c r="HQ22" s="730">
        <v>19</v>
      </c>
      <c r="HR22" s="867">
        <v>19</v>
      </c>
      <c r="HS22" s="732" t="s">
        <v>426</v>
      </c>
      <c r="HT22" s="784">
        <f t="shared" si="86"/>
        <v>2154</v>
      </c>
      <c r="HU22" s="917">
        <f t="shared" si="87"/>
        <v>230.752984</v>
      </c>
      <c r="HV22" s="868"/>
      <c r="HW22" s="765"/>
      <c r="HX22" s="868">
        <v>-2.8946819999999889</v>
      </c>
      <c r="HY22" s="766">
        <v>10</v>
      </c>
      <c r="IP22" s="730">
        <v>19</v>
      </c>
      <c r="IQ22" s="867">
        <v>19</v>
      </c>
      <c r="IR22" s="732" t="s">
        <v>426</v>
      </c>
      <c r="IS22" s="913">
        <f t="shared" si="106"/>
        <v>4970.41927536</v>
      </c>
      <c r="IT22" s="915">
        <f t="shared" si="88"/>
        <v>2154</v>
      </c>
      <c r="IU22" s="918">
        <f t="shared" si="89"/>
        <v>230.752984</v>
      </c>
      <c r="IV22" s="904">
        <f t="shared" si="114"/>
        <v>315.14897348819034</v>
      </c>
      <c r="IW22" s="904">
        <f t="shared" si="91"/>
        <v>1838.8510265118098</v>
      </c>
      <c r="IX22" s="913">
        <f t="shared" si="115"/>
        <v>4.7272346023228549</v>
      </c>
      <c r="IY22" s="881">
        <f t="shared" si="93"/>
        <v>4965.6920407576772</v>
      </c>
      <c r="IZ22" s="928">
        <f t="shared" si="116"/>
        <v>230.53352092654026</v>
      </c>
      <c r="JA22" s="928">
        <f t="shared" si="117"/>
        <v>232.03352092654026</v>
      </c>
      <c r="JB22" s="913">
        <f t="shared" si="107"/>
        <v>4970.41927536</v>
      </c>
      <c r="JC22" s="852">
        <v>0.22223272731204702</v>
      </c>
      <c r="JG22" s="730">
        <v>19</v>
      </c>
      <c r="JH22" s="867">
        <v>19</v>
      </c>
      <c r="JI22" s="732" t="s">
        <v>426</v>
      </c>
      <c r="JJ22" s="784">
        <f t="shared" si="96"/>
        <v>2154</v>
      </c>
      <c r="JK22" s="917">
        <f t="shared" si="97"/>
        <v>230.53352092654026</v>
      </c>
      <c r="JL22" s="868">
        <v>235.7</v>
      </c>
      <c r="JM22" s="765"/>
      <c r="JN22" s="868"/>
      <c r="JO22" s="766">
        <v>10</v>
      </c>
      <c r="JT22" s="936">
        <v>0</v>
      </c>
      <c r="JU22" s="936">
        <f t="shared" si="64"/>
        <v>0</v>
      </c>
      <c r="JV22" s="13">
        <v>0</v>
      </c>
      <c r="JW22" s="13">
        <f t="shared" si="65"/>
        <v>0</v>
      </c>
    </row>
    <row r="23" spans="3:294" x14ac:dyDescent="0.3">
      <c r="J23" s="338">
        <v>20</v>
      </c>
      <c r="K23" s="759">
        <v>20</v>
      </c>
      <c r="L23" s="518" t="s">
        <v>427</v>
      </c>
      <c r="M23" s="904"/>
      <c r="N23" s="943">
        <f t="shared" si="66"/>
        <v>0</v>
      </c>
      <c r="O23" s="455">
        <v>813.59999999999991</v>
      </c>
      <c r="P23" s="948">
        <f t="shared" si="67"/>
        <v>0</v>
      </c>
      <c r="Q23" s="659">
        <f t="shared" si="68"/>
        <v>0</v>
      </c>
      <c r="R23" s="322" t="s">
        <v>402</v>
      </c>
      <c r="V23" s="734">
        <f t="shared" si="98"/>
        <v>20</v>
      </c>
      <c r="W23" s="735">
        <f t="shared" si="0"/>
        <v>20</v>
      </c>
      <c r="X23" s="518" t="s">
        <v>427</v>
      </c>
      <c r="Y23" s="924">
        <f t="shared" si="69"/>
        <v>0</v>
      </c>
      <c r="Z23" s="943">
        <f t="shared" si="70"/>
        <v>0</v>
      </c>
      <c r="AD23" s="734">
        <v>20</v>
      </c>
      <c r="AE23" s="146">
        <v>20</v>
      </c>
      <c r="AF23" s="347" t="s">
        <v>427</v>
      </c>
      <c r="AG23" s="369">
        <v>4.6900000000000004</v>
      </c>
      <c r="AQ23" s="734">
        <f t="shared" si="71"/>
        <v>20</v>
      </c>
      <c r="AR23" s="787">
        <f t="shared" si="1"/>
        <v>20</v>
      </c>
      <c r="AS23" s="518" t="s">
        <v>427</v>
      </c>
      <c r="AT23" s="518">
        <f t="shared" si="2"/>
        <v>4.6900000000000004</v>
      </c>
      <c r="AU23" s="788">
        <f t="shared" si="72"/>
        <v>0</v>
      </c>
      <c r="AV23" s="788">
        <f t="shared" si="99"/>
        <v>0</v>
      </c>
      <c r="AW23" s="789">
        <f t="shared" si="3"/>
        <v>0</v>
      </c>
      <c r="AX23" s="790">
        <f t="shared" si="4"/>
        <v>18.326441541544678</v>
      </c>
      <c r="AY23" s="358">
        <f t="shared" si="108"/>
        <v>0</v>
      </c>
      <c r="AZ23" s="35">
        <f t="shared" si="73"/>
        <v>0</v>
      </c>
      <c r="BA23" s="55">
        <f t="shared" si="5"/>
        <v>0</v>
      </c>
      <c r="BL23" s="338">
        <f t="shared" si="100"/>
        <v>20</v>
      </c>
      <c r="BM23" s="322">
        <f t="shared" si="6"/>
        <v>20</v>
      </c>
      <c r="BN23" s="518" t="s">
        <v>427</v>
      </c>
      <c r="BO23" s="659">
        <f>VLOOKUP(BM23,$AR$4:$AZ$28,$BO$30,FALSE)</f>
        <v>0</v>
      </c>
      <c r="BP23" s="358">
        <f>BO23*$BP$28</f>
        <v>0</v>
      </c>
      <c r="BQ23" s="947">
        <f>VLOOKUP(BM23,$K$4:$N$27,$BQ$30,FALSE)</f>
        <v>0</v>
      </c>
      <c r="BR23" s="358">
        <f>BQ23*$BR$28</f>
        <v>0</v>
      </c>
      <c r="BS23" s="809">
        <f t="shared" si="9"/>
        <v>0</v>
      </c>
      <c r="BT23" s="810">
        <f t="shared" si="10"/>
        <v>0</v>
      </c>
      <c r="BW23" s="1"/>
      <c r="BX23" s="10"/>
      <c r="BY23" s="10"/>
      <c r="BZ23" s="10"/>
      <c r="CA23" s="10"/>
      <c r="CB23" s="10"/>
      <c r="CC23" s="10"/>
      <c r="CD23" s="10"/>
      <c r="CE23" s="10"/>
      <c r="CI23" s="734">
        <f t="shared" si="101"/>
        <v>20</v>
      </c>
      <c r="CJ23" s="146">
        <f t="shared" si="12"/>
        <v>20</v>
      </c>
      <c r="CK23" s="518" t="s">
        <v>427</v>
      </c>
      <c r="CL23" s="344">
        <f t="shared" si="13"/>
        <v>0</v>
      </c>
      <c r="CM23" s="20">
        <f t="shared" si="14"/>
        <v>0</v>
      </c>
      <c r="CN23" s="344">
        <f t="shared" si="15"/>
        <v>0</v>
      </c>
      <c r="CO23" s="20">
        <f t="shared" si="16"/>
        <v>0</v>
      </c>
      <c r="CP23" s="20">
        <f t="shared" si="17"/>
        <v>0</v>
      </c>
      <c r="CQ23" s="344">
        <f t="shared" si="18"/>
        <v>0</v>
      </c>
      <c r="CR23" s="342">
        <f t="shared" si="19"/>
        <v>0</v>
      </c>
      <c r="DE23" s="1"/>
      <c r="DH23" s="734">
        <v>20</v>
      </c>
      <c r="DI23" s="745">
        <f t="shared" si="20"/>
        <v>20</v>
      </c>
      <c r="DJ23" s="518" t="s">
        <v>427</v>
      </c>
      <c r="DK23" s="344">
        <f t="shared" si="21"/>
        <v>0</v>
      </c>
      <c r="DL23" s="20">
        <f t="shared" si="77"/>
        <v>0</v>
      </c>
      <c r="DM23" s="344">
        <f t="shared" si="22"/>
        <v>0</v>
      </c>
      <c r="DN23" s="20">
        <f t="shared" si="23"/>
        <v>0</v>
      </c>
      <c r="DO23" s="344">
        <f t="shared" si="24"/>
        <v>0</v>
      </c>
      <c r="DP23" s="20">
        <f t="shared" si="25"/>
        <v>0</v>
      </c>
      <c r="DQ23" s="20">
        <f t="shared" si="78"/>
        <v>0</v>
      </c>
      <c r="DR23" s="344">
        <f t="shared" si="26"/>
        <v>0</v>
      </c>
      <c r="DS23" s="342">
        <f t="shared" si="27"/>
        <v>0</v>
      </c>
      <c r="DW23" s="734">
        <f t="shared" si="102"/>
        <v>20</v>
      </c>
      <c r="DX23" s="745">
        <f t="shared" si="28"/>
        <v>20</v>
      </c>
      <c r="DY23" s="518" t="s">
        <v>427</v>
      </c>
      <c r="DZ23" s="344">
        <f t="shared" si="29"/>
        <v>0</v>
      </c>
      <c r="EA23" s="20">
        <f t="shared" si="30"/>
        <v>0</v>
      </c>
      <c r="EB23" s="342">
        <f t="shared" si="31"/>
        <v>0</v>
      </c>
      <c r="EN23" s="734">
        <f t="shared" si="103"/>
        <v>20</v>
      </c>
      <c r="EO23" s="745">
        <f t="shared" si="32"/>
        <v>20</v>
      </c>
      <c r="EP23" s="518" t="s">
        <v>427</v>
      </c>
      <c r="EQ23" s="344">
        <f t="shared" si="33"/>
        <v>0</v>
      </c>
      <c r="ER23" s="20">
        <f t="shared" si="34"/>
        <v>0</v>
      </c>
      <c r="ES23" s="344">
        <f t="shared" si="35"/>
        <v>0</v>
      </c>
      <c r="ET23" s="20">
        <f t="shared" si="36"/>
        <v>0</v>
      </c>
      <c r="EU23" s="344">
        <f t="shared" si="37"/>
        <v>0</v>
      </c>
      <c r="EV23" s="20">
        <f t="shared" si="38"/>
        <v>0</v>
      </c>
      <c r="EW23" s="20">
        <f t="shared" si="39"/>
        <v>0</v>
      </c>
      <c r="EX23" s="344">
        <f t="shared" si="40"/>
        <v>0</v>
      </c>
      <c r="EY23" s="342">
        <f t="shared" si="41"/>
        <v>0</v>
      </c>
      <c r="FI23" s="734">
        <f t="shared" si="104"/>
        <v>20</v>
      </c>
      <c r="FJ23" s="735">
        <f t="shared" si="42"/>
        <v>20</v>
      </c>
      <c r="FK23" s="518" t="s">
        <v>427</v>
      </c>
      <c r="FL23" s="344">
        <f>Z23</f>
        <v>0</v>
      </c>
      <c r="FM23" s="20">
        <f>Z23*$FM$28</f>
        <v>0</v>
      </c>
      <c r="FN23" s="342">
        <f t="shared" si="45"/>
        <v>0</v>
      </c>
      <c r="FR23" s="734">
        <f t="shared" si="105"/>
        <v>20</v>
      </c>
      <c r="FS23" s="735">
        <v>20</v>
      </c>
      <c r="FT23" s="518" t="s">
        <v>427</v>
      </c>
      <c r="FU23" s="20">
        <f t="shared" si="46"/>
        <v>0</v>
      </c>
      <c r="FV23" s="20">
        <f>VLOOKUP(FS23,$BM$4:$BT$86,$FV$30,FALSE)</f>
        <v>0</v>
      </c>
      <c r="FW23" s="20">
        <f t="shared" si="48"/>
        <v>0</v>
      </c>
      <c r="FX23" s="20">
        <f t="shared" si="49"/>
        <v>0</v>
      </c>
      <c r="FY23" s="20">
        <f t="shared" si="50"/>
        <v>0</v>
      </c>
      <c r="FZ23" s="20">
        <f t="shared" si="51"/>
        <v>0</v>
      </c>
      <c r="GA23" s="20">
        <f t="shared" si="52"/>
        <v>0</v>
      </c>
      <c r="GB23" s="20">
        <f t="shared" si="53"/>
        <v>0</v>
      </c>
      <c r="GC23" s="414">
        <f t="shared" si="54"/>
        <v>0</v>
      </c>
      <c r="GG23" s="734">
        <f t="shared" si="79"/>
        <v>20</v>
      </c>
      <c r="GH23" s="735">
        <f t="shared" si="55"/>
        <v>20</v>
      </c>
      <c r="GI23" s="518" t="s">
        <v>427</v>
      </c>
      <c r="GJ23" s="342">
        <f t="shared" si="56"/>
        <v>0</v>
      </c>
      <c r="GK23" s="342">
        <f t="shared" si="57"/>
        <v>0</v>
      </c>
      <c r="GL23" s="342">
        <f t="shared" si="58"/>
        <v>0</v>
      </c>
      <c r="GM23" s="342">
        <f t="shared" si="59"/>
        <v>0</v>
      </c>
      <c r="GN23" s="342">
        <f t="shared" si="60"/>
        <v>0</v>
      </c>
      <c r="GO23" s="342">
        <f t="shared" si="61"/>
        <v>0</v>
      </c>
      <c r="GP23" s="342">
        <f t="shared" si="62"/>
        <v>0</v>
      </c>
      <c r="GQ23" s="342">
        <f t="shared" si="63"/>
        <v>0</v>
      </c>
      <c r="GR23" s="788">
        <f t="shared" si="80"/>
        <v>0</v>
      </c>
      <c r="GS23" s="716"/>
      <c r="GV23" s="718">
        <f t="shared" si="81"/>
        <v>20</v>
      </c>
      <c r="GW23" s="735">
        <v>20</v>
      </c>
      <c r="GX23" s="518" t="s">
        <v>427</v>
      </c>
      <c r="GY23" s="322" t="s">
        <v>402</v>
      </c>
      <c r="GZ23" s="924">
        <f>GB23</f>
        <v>0</v>
      </c>
      <c r="HA23" s="788">
        <f t="shared" si="83"/>
        <v>0</v>
      </c>
      <c r="HB23" s="922">
        <f t="shared" si="109"/>
        <v>0</v>
      </c>
      <c r="HC23" s="942">
        <f t="shared" si="85"/>
        <v>0</v>
      </c>
      <c r="HD23" s="858">
        <v>-1.3227962699602358E-3</v>
      </c>
      <c r="HE23" s="54"/>
      <c r="HH23" s="54"/>
      <c r="HI23" s="54"/>
      <c r="HJ23" s="54"/>
      <c r="HK23" s="54"/>
      <c r="HL23" s="54"/>
      <c r="HM23" s="54"/>
      <c r="HN23" s="54"/>
      <c r="HQ23" s="734">
        <v>20</v>
      </c>
      <c r="HR23" s="869">
        <v>20</v>
      </c>
      <c r="HS23" s="518" t="s">
        <v>427</v>
      </c>
      <c r="HT23" s="788">
        <f t="shared" si="86"/>
        <v>0</v>
      </c>
      <c r="HU23" s="917">
        <f t="shared" si="87"/>
        <v>0</v>
      </c>
      <c r="HV23" s="870"/>
      <c r="HW23" s="768"/>
      <c r="HX23" s="870">
        <v>-1.448607</v>
      </c>
      <c r="HY23" s="769">
        <v>10</v>
      </c>
      <c r="IP23" s="734">
        <v>20</v>
      </c>
      <c r="IQ23" s="869">
        <v>20</v>
      </c>
      <c r="IR23" s="518" t="s">
        <v>427</v>
      </c>
      <c r="IS23" s="913">
        <f t="shared" si="106"/>
        <v>0</v>
      </c>
      <c r="IT23" s="915">
        <f t="shared" si="88"/>
        <v>0</v>
      </c>
      <c r="IU23" s="919">
        <f t="shared" si="89"/>
        <v>0</v>
      </c>
      <c r="IV23" s="904">
        <v>0</v>
      </c>
      <c r="IW23" s="904">
        <f t="shared" si="91"/>
        <v>0</v>
      </c>
      <c r="IX23" s="913">
        <v>0</v>
      </c>
      <c r="IY23" s="882">
        <f t="shared" si="93"/>
        <v>0</v>
      </c>
      <c r="IZ23" s="928">
        <f t="shared" ref="IZ23:IZ24" si="118">IU23</f>
        <v>0</v>
      </c>
      <c r="JA23" s="929">
        <f>IZ23</f>
        <v>0</v>
      </c>
      <c r="JB23" s="913">
        <f t="shared" si="107"/>
        <v>0</v>
      </c>
      <c r="JC23" s="883">
        <v>0</v>
      </c>
      <c r="JG23" s="734">
        <v>20</v>
      </c>
      <c r="JH23" s="869">
        <v>20</v>
      </c>
      <c r="JI23" s="518" t="s">
        <v>427</v>
      </c>
      <c r="JJ23" s="788">
        <f t="shared" si="96"/>
        <v>0</v>
      </c>
      <c r="JK23" s="917">
        <f t="shared" si="97"/>
        <v>0</v>
      </c>
      <c r="JL23" s="870">
        <v>8.734</v>
      </c>
      <c r="JM23" s="768"/>
      <c r="JN23" s="870"/>
      <c r="JO23" s="769">
        <v>10</v>
      </c>
      <c r="JT23" s="936">
        <v>0</v>
      </c>
      <c r="JU23" s="936">
        <f t="shared" si="64"/>
        <v>0</v>
      </c>
      <c r="JV23" s="13">
        <v>0</v>
      </c>
      <c r="JW23" s="13">
        <f t="shared" si="65"/>
        <v>0</v>
      </c>
    </row>
    <row r="24" spans="3:294" x14ac:dyDescent="0.3">
      <c r="J24" s="756">
        <v>21</v>
      </c>
      <c r="K24" s="757">
        <v>21</v>
      </c>
      <c r="L24" s="732" t="s">
        <v>428</v>
      </c>
      <c r="M24" s="904"/>
      <c r="N24" s="944">
        <f t="shared" si="66"/>
        <v>0</v>
      </c>
      <c r="O24" s="753">
        <v>616.79999999999995</v>
      </c>
      <c r="P24" s="948">
        <f t="shared" si="67"/>
        <v>0</v>
      </c>
      <c r="Q24" s="733">
        <f t="shared" si="68"/>
        <v>0</v>
      </c>
      <c r="R24" s="758" t="s">
        <v>402</v>
      </c>
      <c r="V24" s="730">
        <f t="shared" si="98"/>
        <v>21</v>
      </c>
      <c r="W24" s="731">
        <f t="shared" si="0"/>
        <v>21</v>
      </c>
      <c r="X24" s="732" t="s">
        <v>428</v>
      </c>
      <c r="Y24" s="924">
        <f t="shared" si="69"/>
        <v>0</v>
      </c>
      <c r="Z24" s="944">
        <f t="shared" si="70"/>
        <v>0</v>
      </c>
      <c r="AD24" s="730">
        <v>21</v>
      </c>
      <c r="AE24" s="746">
        <v>21</v>
      </c>
      <c r="AF24" s="747" t="s">
        <v>428</v>
      </c>
      <c r="AG24" s="748">
        <v>5.0999999999999996</v>
      </c>
      <c r="AQ24" s="730">
        <f t="shared" si="71"/>
        <v>21</v>
      </c>
      <c r="AR24" s="783">
        <f t="shared" si="1"/>
        <v>21</v>
      </c>
      <c r="AS24" s="732" t="s">
        <v>428</v>
      </c>
      <c r="AT24" s="732">
        <f t="shared" si="2"/>
        <v>5.0999999999999996</v>
      </c>
      <c r="AU24" s="784">
        <f t="shared" si="72"/>
        <v>0</v>
      </c>
      <c r="AV24" s="784">
        <f t="shared" si="99"/>
        <v>0</v>
      </c>
      <c r="AW24" s="785">
        <f t="shared" si="3"/>
        <v>0</v>
      </c>
      <c r="AX24" s="786">
        <f t="shared" si="4"/>
        <v>18.326441541544678</v>
      </c>
      <c r="AY24" s="379">
        <f t="shared" si="108"/>
        <v>0</v>
      </c>
      <c r="AZ24" s="51">
        <f t="shared" si="73"/>
        <v>0</v>
      </c>
      <c r="BA24" s="53">
        <f t="shared" si="5"/>
        <v>0</v>
      </c>
      <c r="BL24" s="756">
        <f t="shared" si="100"/>
        <v>21</v>
      </c>
      <c r="BM24" s="758">
        <f t="shared" si="6"/>
        <v>21</v>
      </c>
      <c r="BN24" s="732" t="s">
        <v>428</v>
      </c>
      <c r="BO24" s="733">
        <f t="shared" si="7"/>
        <v>0</v>
      </c>
      <c r="BP24" s="379">
        <f t="shared" si="74"/>
        <v>0</v>
      </c>
      <c r="BQ24" s="733">
        <f t="shared" si="8"/>
        <v>0</v>
      </c>
      <c r="BR24" s="379">
        <f t="shared" si="75"/>
        <v>0</v>
      </c>
      <c r="BS24" s="807">
        <f t="shared" si="9"/>
        <v>0</v>
      </c>
      <c r="BT24" s="808">
        <f t="shared" si="10"/>
        <v>0</v>
      </c>
      <c r="BW24" s="1"/>
      <c r="BX24" s="10"/>
      <c r="BY24" s="10"/>
      <c r="BZ24" s="10"/>
      <c r="CA24" s="10"/>
      <c r="CB24" s="10"/>
      <c r="CC24" s="10"/>
      <c r="CD24" s="10"/>
      <c r="CE24" s="10"/>
      <c r="CI24" s="730">
        <f t="shared" si="101"/>
        <v>21</v>
      </c>
      <c r="CJ24" s="746">
        <f t="shared" si="12"/>
        <v>21</v>
      </c>
      <c r="CK24" s="732" t="s">
        <v>428</v>
      </c>
      <c r="CL24" s="733">
        <f t="shared" si="13"/>
        <v>0</v>
      </c>
      <c r="CM24" s="379">
        <f t="shared" si="14"/>
        <v>0</v>
      </c>
      <c r="CN24" s="733">
        <f t="shared" si="15"/>
        <v>0</v>
      </c>
      <c r="CO24" s="379">
        <f t="shared" si="16"/>
        <v>0</v>
      </c>
      <c r="CP24" s="379">
        <f t="shared" si="17"/>
        <v>0</v>
      </c>
      <c r="CQ24" s="733">
        <f t="shared" si="18"/>
        <v>0</v>
      </c>
      <c r="CR24" s="808">
        <f t="shared" si="19"/>
        <v>0</v>
      </c>
      <c r="DE24" s="1"/>
      <c r="DH24" s="730">
        <v>21</v>
      </c>
      <c r="DI24" s="840">
        <f t="shared" si="20"/>
        <v>21</v>
      </c>
      <c r="DJ24" s="732" t="s">
        <v>428</v>
      </c>
      <c r="DK24" s="733">
        <f t="shared" si="21"/>
        <v>0</v>
      </c>
      <c r="DL24" s="379">
        <f t="shared" si="77"/>
        <v>0</v>
      </c>
      <c r="DM24" s="733">
        <f t="shared" si="22"/>
        <v>0</v>
      </c>
      <c r="DN24" s="379">
        <f t="shared" si="23"/>
        <v>0</v>
      </c>
      <c r="DO24" s="733">
        <f t="shared" si="24"/>
        <v>0</v>
      </c>
      <c r="DP24" s="379">
        <f t="shared" si="25"/>
        <v>0</v>
      </c>
      <c r="DQ24" s="379">
        <f t="shared" si="78"/>
        <v>0</v>
      </c>
      <c r="DR24" s="733">
        <f t="shared" si="26"/>
        <v>0</v>
      </c>
      <c r="DS24" s="808">
        <f t="shared" si="27"/>
        <v>0</v>
      </c>
      <c r="DW24" s="730">
        <f t="shared" si="102"/>
        <v>21</v>
      </c>
      <c r="DX24" s="840">
        <f t="shared" si="28"/>
        <v>21</v>
      </c>
      <c r="DY24" s="732" t="s">
        <v>428</v>
      </c>
      <c r="DZ24" s="733">
        <f t="shared" si="29"/>
        <v>0</v>
      </c>
      <c r="EA24" s="379">
        <f t="shared" si="30"/>
        <v>0</v>
      </c>
      <c r="EB24" s="808">
        <f t="shared" si="31"/>
        <v>0</v>
      </c>
      <c r="EN24" s="730">
        <f t="shared" si="103"/>
        <v>21</v>
      </c>
      <c r="EO24" s="840">
        <f t="shared" si="32"/>
        <v>21</v>
      </c>
      <c r="EP24" s="732" t="s">
        <v>428</v>
      </c>
      <c r="EQ24" s="733">
        <f t="shared" si="33"/>
        <v>0</v>
      </c>
      <c r="ER24" s="379">
        <f t="shared" si="34"/>
        <v>0</v>
      </c>
      <c r="ES24" s="733">
        <f t="shared" si="35"/>
        <v>0</v>
      </c>
      <c r="ET24" s="379">
        <f t="shared" si="36"/>
        <v>0</v>
      </c>
      <c r="EU24" s="733">
        <f t="shared" si="37"/>
        <v>0</v>
      </c>
      <c r="EV24" s="379">
        <f t="shared" si="38"/>
        <v>0</v>
      </c>
      <c r="EW24" s="379">
        <f t="shared" si="39"/>
        <v>0</v>
      </c>
      <c r="EX24" s="733">
        <f t="shared" si="40"/>
        <v>0</v>
      </c>
      <c r="EY24" s="808">
        <f t="shared" si="41"/>
        <v>0</v>
      </c>
      <c r="FI24" s="730">
        <f t="shared" si="104"/>
        <v>21</v>
      </c>
      <c r="FJ24" s="731">
        <f t="shared" si="42"/>
        <v>21</v>
      </c>
      <c r="FK24" s="732" t="s">
        <v>428</v>
      </c>
      <c r="FL24" s="733">
        <f t="shared" si="43"/>
        <v>0</v>
      </c>
      <c r="FM24" s="379">
        <f t="shared" si="44"/>
        <v>0</v>
      </c>
      <c r="FN24" s="808">
        <f t="shared" si="45"/>
        <v>0</v>
      </c>
      <c r="FR24" s="730">
        <f t="shared" si="105"/>
        <v>21</v>
      </c>
      <c r="FS24" s="731">
        <v>21</v>
      </c>
      <c r="FT24" s="732" t="s">
        <v>428</v>
      </c>
      <c r="FU24" s="379">
        <f t="shared" si="46"/>
        <v>0</v>
      </c>
      <c r="FV24" s="379">
        <f>VLOOKUP(FS24,$BM$4:$BT$86,$FV$30,FALSE)</f>
        <v>0</v>
      </c>
      <c r="FW24" s="379">
        <f t="shared" si="48"/>
        <v>0</v>
      </c>
      <c r="FX24" s="379">
        <f t="shared" si="49"/>
        <v>0</v>
      </c>
      <c r="FY24" s="379">
        <f t="shared" si="50"/>
        <v>0</v>
      </c>
      <c r="FZ24" s="379">
        <f t="shared" si="51"/>
        <v>0</v>
      </c>
      <c r="GA24" s="379">
        <f t="shared" si="52"/>
        <v>0</v>
      </c>
      <c r="GB24" s="379">
        <f>SUM(FU24:GA24)</f>
        <v>0</v>
      </c>
      <c r="GC24" s="852">
        <f t="shared" si="54"/>
        <v>0</v>
      </c>
      <c r="GG24" s="730">
        <f t="shared" si="79"/>
        <v>21</v>
      </c>
      <c r="GH24" s="731">
        <f t="shared" si="55"/>
        <v>21</v>
      </c>
      <c r="GI24" s="732" t="s">
        <v>428</v>
      </c>
      <c r="GJ24" s="808">
        <f t="shared" si="56"/>
        <v>0</v>
      </c>
      <c r="GK24" s="808">
        <f t="shared" si="57"/>
        <v>0</v>
      </c>
      <c r="GL24" s="808">
        <f t="shared" si="58"/>
        <v>0</v>
      </c>
      <c r="GM24" s="808">
        <f t="shared" si="59"/>
        <v>0</v>
      </c>
      <c r="GN24" s="808">
        <f t="shared" si="60"/>
        <v>0</v>
      </c>
      <c r="GO24" s="808">
        <f t="shared" si="61"/>
        <v>0</v>
      </c>
      <c r="GP24" s="808">
        <f t="shared" si="62"/>
        <v>0</v>
      </c>
      <c r="GQ24" s="808">
        <f t="shared" si="63"/>
        <v>0</v>
      </c>
      <c r="GR24" s="784">
        <f t="shared" si="80"/>
        <v>0</v>
      </c>
      <c r="GS24" s="716"/>
      <c r="GV24" s="717">
        <f t="shared" si="81"/>
        <v>21</v>
      </c>
      <c r="GW24" s="731">
        <v>21</v>
      </c>
      <c r="GX24" s="732" t="s">
        <v>428</v>
      </c>
      <c r="GY24" s="758" t="s">
        <v>402</v>
      </c>
      <c r="GZ24" s="906">
        <f t="shared" si="82"/>
        <v>0</v>
      </c>
      <c r="HA24" s="784">
        <f t="shared" si="83"/>
        <v>0</v>
      </c>
      <c r="HB24" s="922">
        <f t="shared" si="109"/>
        <v>0</v>
      </c>
      <c r="HC24" s="942">
        <f t="shared" si="85"/>
        <v>0</v>
      </c>
      <c r="HD24" s="857">
        <v>-5.9903747751377523E-4</v>
      </c>
      <c r="HE24" s="54"/>
      <c r="HH24" s="54"/>
      <c r="HI24" s="54"/>
      <c r="HJ24" s="54"/>
      <c r="HK24" s="54"/>
      <c r="HL24" s="54"/>
      <c r="HM24" s="54"/>
      <c r="HN24" s="54"/>
      <c r="HQ24" s="730">
        <v>21</v>
      </c>
      <c r="HR24" s="867">
        <v>21</v>
      </c>
      <c r="HS24" s="732" t="s">
        <v>428</v>
      </c>
      <c r="HT24" s="784">
        <f t="shared" si="86"/>
        <v>0</v>
      </c>
      <c r="HU24" s="917">
        <f t="shared" si="87"/>
        <v>0</v>
      </c>
      <c r="HV24" s="868"/>
      <c r="HW24" s="765"/>
      <c r="HX24" s="868">
        <v>-1.6913859999999996</v>
      </c>
      <c r="HY24" s="766">
        <v>10</v>
      </c>
      <c r="IP24" s="730">
        <v>21</v>
      </c>
      <c r="IQ24" s="867">
        <v>21</v>
      </c>
      <c r="IR24" s="732" t="s">
        <v>428</v>
      </c>
      <c r="IS24" s="913">
        <f t="shared" si="106"/>
        <v>0</v>
      </c>
      <c r="IT24" s="915">
        <f t="shared" si="88"/>
        <v>0</v>
      </c>
      <c r="IU24" s="918">
        <f t="shared" si="89"/>
        <v>0</v>
      </c>
      <c r="IV24" s="904">
        <v>0</v>
      </c>
      <c r="IW24" s="904">
        <f t="shared" si="91"/>
        <v>0</v>
      </c>
      <c r="IX24" s="913">
        <v>0</v>
      </c>
      <c r="IY24" s="881">
        <f t="shared" si="93"/>
        <v>0</v>
      </c>
      <c r="IZ24" s="928">
        <f t="shared" si="118"/>
        <v>0</v>
      </c>
      <c r="JA24" s="928">
        <v>8.3326989999999999</v>
      </c>
      <c r="JB24" s="913">
        <f t="shared" si="107"/>
        <v>0</v>
      </c>
      <c r="JC24" s="852">
        <v>0</v>
      </c>
      <c r="JG24" s="730">
        <v>21</v>
      </c>
      <c r="JH24" s="867">
        <v>21</v>
      </c>
      <c r="JI24" s="732" t="s">
        <v>428</v>
      </c>
      <c r="JJ24" s="784">
        <f t="shared" si="96"/>
        <v>0</v>
      </c>
      <c r="JK24" s="917">
        <f t="shared" si="97"/>
        <v>0</v>
      </c>
      <c r="JL24" s="868">
        <v>10.023999999999999</v>
      </c>
      <c r="JM24" s="765"/>
      <c r="JN24" s="868"/>
      <c r="JO24" s="766">
        <v>10</v>
      </c>
      <c r="JT24" s="936">
        <v>5.1923509265402581</v>
      </c>
      <c r="JU24" s="936">
        <f t="shared" si="64"/>
        <v>0</v>
      </c>
      <c r="JV24" s="13">
        <v>97572642</v>
      </c>
      <c r="JW24" s="13">
        <f t="shared" si="65"/>
        <v>0</v>
      </c>
    </row>
    <row r="25" spans="3:294" x14ac:dyDescent="0.3">
      <c r="J25" s="338">
        <v>22</v>
      </c>
      <c r="K25" s="759">
        <v>22</v>
      </c>
      <c r="L25" s="518" t="s">
        <v>429</v>
      </c>
      <c r="M25" s="904">
        <v>97572642</v>
      </c>
      <c r="N25" s="943">
        <f t="shared" si="66"/>
        <v>4.4294599095904025E-2</v>
      </c>
      <c r="O25" s="455">
        <v>1460.4614875157295</v>
      </c>
      <c r="P25" s="948">
        <f t="shared" si="67"/>
        <v>66809.459088149437</v>
      </c>
      <c r="Q25" s="659">
        <f t="shared" si="68"/>
        <v>3.78686528117083E-2</v>
      </c>
      <c r="R25" s="322" t="s">
        <v>397</v>
      </c>
      <c r="V25" s="734">
        <f t="shared" si="98"/>
        <v>22</v>
      </c>
      <c r="W25" s="735">
        <f t="shared" si="0"/>
        <v>22</v>
      </c>
      <c r="X25" s="518" t="s">
        <v>429</v>
      </c>
      <c r="Y25" s="924">
        <f t="shared" si="69"/>
        <v>3914145.6376899052</v>
      </c>
      <c r="Z25" s="943">
        <f t="shared" si="70"/>
        <v>4.6781913642174003E-2</v>
      </c>
      <c r="AD25" s="734">
        <v>22</v>
      </c>
      <c r="AE25" s="146">
        <v>22</v>
      </c>
      <c r="AF25" s="347" t="s">
        <v>429</v>
      </c>
      <c r="AG25" s="369">
        <v>3.68</v>
      </c>
      <c r="AQ25" s="734">
        <f t="shared" si="71"/>
        <v>22</v>
      </c>
      <c r="AR25" s="787">
        <f t="shared" si="1"/>
        <v>22</v>
      </c>
      <c r="AS25" s="518" t="s">
        <v>429</v>
      </c>
      <c r="AT25" s="518">
        <f t="shared" si="2"/>
        <v>3.68</v>
      </c>
      <c r="AU25" s="788">
        <f t="shared" si="72"/>
        <v>97572642</v>
      </c>
      <c r="AV25" s="788">
        <f t="shared" si="99"/>
        <v>99740.922933333335</v>
      </c>
      <c r="AW25" s="789">
        <f t="shared" si="3"/>
        <v>103216.18452715897</v>
      </c>
      <c r="AX25" s="790">
        <f t="shared" si="4"/>
        <v>18.326441541544678</v>
      </c>
      <c r="AY25" s="358">
        <f t="shared" si="108"/>
        <v>1891585.3718782673</v>
      </c>
      <c r="AZ25" s="35">
        <f t="shared" si="73"/>
        <v>5.2422552520224708E-2</v>
      </c>
      <c r="BA25" s="55">
        <f t="shared" si="5"/>
        <v>1.9386429999999999</v>
      </c>
      <c r="BL25" s="338">
        <f t="shared" si="100"/>
        <v>22</v>
      </c>
      <c r="BM25" s="322">
        <f t="shared" si="6"/>
        <v>22</v>
      </c>
      <c r="BN25" s="518" t="s">
        <v>429</v>
      </c>
      <c r="BO25" s="659">
        <f t="shared" si="7"/>
        <v>5.2422552520224708E-2</v>
      </c>
      <c r="BP25" s="358">
        <f t="shared" si="74"/>
        <v>411810.54753630166</v>
      </c>
      <c r="BQ25" s="659">
        <f t="shared" si="8"/>
        <v>4.4294599095904025E-2</v>
      </c>
      <c r="BR25" s="358">
        <f t="shared" si="75"/>
        <v>347960.60530527978</v>
      </c>
      <c r="BS25" s="809">
        <f t="shared" si="9"/>
        <v>759771.1528415815</v>
      </c>
      <c r="BT25" s="810">
        <f t="shared" si="10"/>
        <v>0.77867200000000003</v>
      </c>
      <c r="BW25" s="1"/>
      <c r="BX25" s="10"/>
      <c r="BY25" s="10"/>
      <c r="BZ25" s="10"/>
      <c r="CA25" s="10"/>
      <c r="CB25" s="10"/>
      <c r="CC25" s="10"/>
      <c r="CD25" s="10"/>
      <c r="CE25" s="10"/>
      <c r="CI25" s="734">
        <f t="shared" si="101"/>
        <v>22</v>
      </c>
      <c r="CJ25" s="146">
        <f t="shared" si="12"/>
        <v>22</v>
      </c>
      <c r="CK25" s="518" t="s">
        <v>429</v>
      </c>
      <c r="CL25" s="344">
        <f t="shared" si="13"/>
        <v>4.4294599095904025E-2</v>
      </c>
      <c r="CM25" s="20">
        <f t="shared" si="14"/>
        <v>237163.91978432407</v>
      </c>
      <c r="CN25" s="344">
        <f t="shared" si="15"/>
        <v>3.78686528117083E-2</v>
      </c>
      <c r="CO25" s="20">
        <f t="shared" si="16"/>
        <v>658957.27230396459</v>
      </c>
      <c r="CP25" s="20">
        <f t="shared" si="17"/>
        <v>896121.19208828872</v>
      </c>
      <c r="CQ25" s="344">
        <f t="shared" si="18"/>
        <v>3.9380650303615046E-2</v>
      </c>
      <c r="CR25" s="342">
        <f t="shared" si="19"/>
        <v>0.91841399999999995</v>
      </c>
      <c r="DE25" s="1"/>
      <c r="DH25" s="734">
        <v>22</v>
      </c>
      <c r="DI25" s="745">
        <f t="shared" si="20"/>
        <v>22</v>
      </c>
      <c r="DJ25" s="518" t="s">
        <v>429</v>
      </c>
      <c r="DK25" s="344">
        <f t="shared" si="21"/>
        <v>3.9380650303615046E-2</v>
      </c>
      <c r="DL25" s="20">
        <f t="shared" si="77"/>
        <v>12434.440271874681</v>
      </c>
      <c r="DM25" s="344">
        <f t="shared" si="22"/>
        <v>3.78686528117083E-2</v>
      </c>
      <c r="DN25" s="20">
        <f t="shared" si="23"/>
        <v>73999.194432574091</v>
      </c>
      <c r="DO25" s="344">
        <f t="shared" si="24"/>
        <v>4.4294599095904025E-2</v>
      </c>
      <c r="DP25" s="20">
        <f t="shared" si="25"/>
        <v>144111.84831368778</v>
      </c>
      <c r="DQ25" s="20">
        <f t="shared" si="78"/>
        <v>230545.48301813655</v>
      </c>
      <c r="DR25" s="344">
        <f t="shared" si="26"/>
        <v>4.1740250120304405E-2</v>
      </c>
      <c r="DS25" s="342">
        <f t="shared" si="27"/>
        <v>0.23628099999999999</v>
      </c>
      <c r="DW25" s="734">
        <f t="shared" si="102"/>
        <v>22</v>
      </c>
      <c r="DX25" s="745">
        <f t="shared" si="28"/>
        <v>22</v>
      </c>
      <c r="DY25" s="518" t="s">
        <v>429</v>
      </c>
      <c r="DZ25" s="344">
        <f t="shared" si="29"/>
        <v>3.78686528117083E-2</v>
      </c>
      <c r="EA25" s="20">
        <f t="shared" si="30"/>
        <v>136122.43786363135</v>
      </c>
      <c r="EB25" s="342">
        <f t="shared" si="31"/>
        <v>0.13950899999999999</v>
      </c>
      <c r="EN25" s="734">
        <f t="shared" si="103"/>
        <v>22</v>
      </c>
      <c r="EO25" s="745">
        <f t="shared" si="32"/>
        <v>22</v>
      </c>
      <c r="EP25" s="518" t="s">
        <v>429</v>
      </c>
      <c r="EQ25" s="344">
        <f t="shared" si="33"/>
        <v>4.6781913642174003E-2</v>
      </c>
      <c r="ER25" s="20">
        <f t="shared" si="34"/>
        <v>334659.33321670053</v>
      </c>
      <c r="ES25" s="344">
        <f t="shared" si="35"/>
        <v>3.9380650303615046E-2</v>
      </c>
      <c r="ET25" s="20">
        <f t="shared" si="36"/>
        <v>37982.772179904016</v>
      </c>
      <c r="EU25" s="344">
        <f t="shared" si="37"/>
        <v>4.4294599095904025E-2</v>
      </c>
      <c r="EV25" s="20">
        <f t="shared" si="38"/>
        <v>114459.97514459418</v>
      </c>
      <c r="EW25" s="20">
        <f t="shared" si="39"/>
        <v>487102.08054119872</v>
      </c>
      <c r="EX25" s="344">
        <f t="shared" si="40"/>
        <v>4.5514327923977138E-2</v>
      </c>
      <c r="EY25" s="342">
        <f t="shared" si="41"/>
        <v>0.49922</v>
      </c>
      <c r="FI25" s="734">
        <f t="shared" si="104"/>
        <v>22</v>
      </c>
      <c r="FJ25" s="735">
        <f t="shared" si="42"/>
        <v>22</v>
      </c>
      <c r="FK25" s="518" t="s">
        <v>429</v>
      </c>
      <c r="FL25" s="344">
        <f t="shared" si="43"/>
        <v>4.6781913642174003E-2</v>
      </c>
      <c r="FM25" s="20">
        <f t="shared" si="44"/>
        <v>879201.90814065887</v>
      </c>
      <c r="FN25" s="342">
        <f t="shared" si="45"/>
        <v>0.90107400000000004</v>
      </c>
      <c r="FR25" s="734">
        <f t="shared" si="105"/>
        <v>22</v>
      </c>
      <c r="FS25" s="735">
        <v>22</v>
      </c>
      <c r="FT25" s="518" t="s">
        <v>429</v>
      </c>
      <c r="FU25" s="20">
        <f t="shared" si="46"/>
        <v>1891585.3718782673</v>
      </c>
      <c r="FV25" s="20">
        <f t="shared" si="47"/>
        <v>759771.1528415815</v>
      </c>
      <c r="FW25" s="20">
        <f t="shared" si="48"/>
        <v>896121.19208828872</v>
      </c>
      <c r="FX25" s="20">
        <f t="shared" si="49"/>
        <v>230545.48301813655</v>
      </c>
      <c r="FY25" s="20">
        <f t="shared" si="50"/>
        <v>136122.43786363135</v>
      </c>
      <c r="FZ25" s="20">
        <f t="shared" si="51"/>
        <v>487102.08054119872</v>
      </c>
      <c r="GA25" s="20">
        <f t="shared" si="52"/>
        <v>879201.90814065887</v>
      </c>
      <c r="GB25" s="20">
        <f t="shared" ref="GB25:GB27" si="119">SUM(FU25:GA25)</f>
        <v>5280449.6263717636</v>
      </c>
      <c r="GC25" s="414">
        <f t="shared" si="54"/>
        <v>5.4118139999999997</v>
      </c>
      <c r="GG25" s="734">
        <f t="shared" si="79"/>
        <v>22</v>
      </c>
      <c r="GH25" s="735">
        <f t="shared" si="55"/>
        <v>22</v>
      </c>
      <c r="GI25" s="518" t="s">
        <v>429</v>
      </c>
      <c r="GJ25" s="342">
        <f t="shared" si="56"/>
        <v>1.9386429999999999</v>
      </c>
      <c r="GK25" s="342">
        <f t="shared" si="57"/>
        <v>0.77867200000000003</v>
      </c>
      <c r="GL25" s="342">
        <f t="shared" si="58"/>
        <v>0.91841399999999995</v>
      </c>
      <c r="GM25" s="342">
        <f t="shared" si="59"/>
        <v>0.23628099999999999</v>
      </c>
      <c r="GN25" s="342">
        <f t="shared" si="60"/>
        <v>0.13950899999999999</v>
      </c>
      <c r="GO25" s="342">
        <f t="shared" si="61"/>
        <v>0.49922</v>
      </c>
      <c r="GP25" s="342">
        <f t="shared" si="62"/>
        <v>0.90107400000000004</v>
      </c>
      <c r="GQ25" s="342">
        <f t="shared" si="63"/>
        <v>5.4118139999999997</v>
      </c>
      <c r="GR25" s="788">
        <f t="shared" si="80"/>
        <v>97572642</v>
      </c>
      <c r="GS25" s="716"/>
      <c r="GV25" s="718">
        <f t="shared" si="81"/>
        <v>22</v>
      </c>
      <c r="GW25" s="735">
        <v>22</v>
      </c>
      <c r="GX25" s="518" t="s">
        <v>429</v>
      </c>
      <c r="GY25" s="322" t="s">
        <v>397</v>
      </c>
      <c r="GZ25" s="924">
        <f t="shared" si="82"/>
        <v>5280449.6263717636</v>
      </c>
      <c r="HA25" s="788">
        <f t="shared" si="83"/>
        <v>97572642</v>
      </c>
      <c r="HB25" s="922">
        <f t="shared" si="109"/>
        <v>5.4118139999999997</v>
      </c>
      <c r="HC25" s="942">
        <f t="shared" si="85"/>
        <v>5280449.8999258801</v>
      </c>
      <c r="HD25" s="858">
        <v>0.21602247189730406</v>
      </c>
      <c r="HE25" s="54"/>
      <c r="HH25" s="54"/>
      <c r="HI25" s="54"/>
      <c r="HJ25" s="54"/>
      <c r="HK25" s="54"/>
      <c r="HL25" s="54"/>
      <c r="HM25" s="54"/>
      <c r="HN25" s="54"/>
      <c r="HQ25" s="734">
        <v>22</v>
      </c>
      <c r="HR25" s="869">
        <v>22</v>
      </c>
      <c r="HS25" s="518" t="s">
        <v>429</v>
      </c>
      <c r="HT25" s="788">
        <f t="shared" si="86"/>
        <v>97572642</v>
      </c>
      <c r="HU25" s="917">
        <f t="shared" si="87"/>
        <v>5.4118139999999997</v>
      </c>
      <c r="HV25" s="870"/>
      <c r="HW25" s="768"/>
      <c r="HX25" s="870">
        <v>-1.3005939999999994</v>
      </c>
      <c r="HY25" s="769">
        <v>10</v>
      </c>
      <c r="IP25" s="734">
        <v>22</v>
      </c>
      <c r="IQ25" s="869">
        <v>22</v>
      </c>
      <c r="IR25" s="518" t="s">
        <v>429</v>
      </c>
      <c r="IS25" s="913">
        <f t="shared" si="106"/>
        <v>5280449.8999258801</v>
      </c>
      <c r="IT25" s="915">
        <f t="shared" si="88"/>
        <v>97572642</v>
      </c>
      <c r="IU25" s="919">
        <f t="shared" si="89"/>
        <v>5.4118139999999997</v>
      </c>
      <c r="IV25" s="904">
        <f t="shared" ref="IV25:IV26" si="120">IT25*$IK$4/(1-$IL$4)</f>
        <v>14275727.932604775</v>
      </c>
      <c r="IW25" s="904">
        <f t="shared" si="91"/>
        <v>83296914.067395225</v>
      </c>
      <c r="IX25" s="913">
        <f t="shared" ref="IX25:IX26" si="121">IV25*$II$4</f>
        <v>214135.91898907162</v>
      </c>
      <c r="IY25" s="882">
        <f t="shared" si="93"/>
        <v>5066313.9809368085</v>
      </c>
      <c r="IZ25" s="928">
        <f t="shared" ref="IZ25:IZ26" si="122">100*IY25/IT25</f>
        <v>5.1923509265402581</v>
      </c>
      <c r="JA25" s="928">
        <f t="shared" ref="JA25:JA26" si="123">IZ25+1.5</f>
        <v>6.6923509265402581</v>
      </c>
      <c r="JB25" s="913">
        <f t="shared" si="107"/>
        <v>5280449.8999258801</v>
      </c>
      <c r="JC25" s="414">
        <v>0.22223330814769415</v>
      </c>
      <c r="JG25" s="734">
        <v>22</v>
      </c>
      <c r="JH25" s="869">
        <v>22</v>
      </c>
      <c r="JI25" s="518" t="s">
        <v>429</v>
      </c>
      <c r="JJ25" s="788">
        <f t="shared" si="96"/>
        <v>97572642</v>
      </c>
      <c r="JK25" s="917">
        <f t="shared" si="97"/>
        <v>5.1923509265402581</v>
      </c>
      <c r="JL25" s="870">
        <v>6.5339999999999998</v>
      </c>
      <c r="JM25" s="768"/>
      <c r="JN25" s="870"/>
      <c r="JO25" s="769">
        <v>10</v>
      </c>
      <c r="JT25" s="936">
        <v>16.515133926540258</v>
      </c>
      <c r="JU25" s="936">
        <f t="shared" si="64"/>
        <v>0</v>
      </c>
      <c r="JV25" s="13">
        <v>578417</v>
      </c>
      <c r="JW25" s="13">
        <f t="shared" si="65"/>
        <v>0</v>
      </c>
    </row>
    <row r="26" spans="3:294" x14ac:dyDescent="0.3">
      <c r="J26" s="756">
        <v>23</v>
      </c>
      <c r="K26" s="757">
        <v>23</v>
      </c>
      <c r="L26" s="732" t="s">
        <v>430</v>
      </c>
      <c r="M26" s="904">
        <v>578417</v>
      </c>
      <c r="N26" s="944">
        <f t="shared" si="66"/>
        <v>2.6258127893324359E-4</v>
      </c>
      <c r="O26" s="753">
        <v>244.63589743589745</v>
      </c>
      <c r="P26" s="948">
        <f t="shared" si="67"/>
        <v>2364.3995262451785</v>
      </c>
      <c r="Q26" s="733">
        <f t="shared" si="68"/>
        <v>1.3401788607420131E-3</v>
      </c>
      <c r="R26" s="758" t="s">
        <v>397</v>
      </c>
      <c r="V26" s="730">
        <f t="shared" si="98"/>
        <v>23</v>
      </c>
      <c r="W26" s="731">
        <f t="shared" si="0"/>
        <v>23</v>
      </c>
      <c r="X26" s="732" t="s">
        <v>430</v>
      </c>
      <c r="Y26" s="924">
        <f t="shared" si="69"/>
        <v>72565.149309811764</v>
      </c>
      <c r="Z26" s="944">
        <f t="shared" si="70"/>
        <v>8.6729949845367035E-4</v>
      </c>
      <c r="AD26" s="730">
        <v>23</v>
      </c>
      <c r="AE26" s="746">
        <v>23</v>
      </c>
      <c r="AF26" s="747" t="s">
        <v>430</v>
      </c>
      <c r="AG26" s="748">
        <v>10.01</v>
      </c>
      <c r="AQ26" s="730">
        <f t="shared" si="71"/>
        <v>23</v>
      </c>
      <c r="AR26" s="783">
        <f t="shared" si="1"/>
        <v>23</v>
      </c>
      <c r="AS26" s="732" t="s">
        <v>430</v>
      </c>
      <c r="AT26" s="732">
        <f t="shared" si="2"/>
        <v>10.01</v>
      </c>
      <c r="AU26" s="784">
        <f t="shared" si="72"/>
        <v>578417</v>
      </c>
      <c r="AV26" s="784">
        <f t="shared" si="99"/>
        <v>1608.3206027777778</v>
      </c>
      <c r="AW26" s="785">
        <f t="shared" si="3"/>
        <v>1664.3591339745265</v>
      </c>
      <c r="AX26" s="786">
        <f t="shared" si="4"/>
        <v>18.326441541544678</v>
      </c>
      <c r="AY26" s="379">
        <f t="shared" si="108"/>
        <v>30501.780372920086</v>
      </c>
      <c r="AZ26" s="51">
        <f t="shared" si="73"/>
        <v>8.4531272409451924E-4</v>
      </c>
      <c r="BA26" s="53">
        <f t="shared" si="5"/>
        <v>5.27332</v>
      </c>
      <c r="BL26" s="756">
        <f t="shared" si="100"/>
        <v>23</v>
      </c>
      <c r="BM26" s="758">
        <f t="shared" si="6"/>
        <v>23</v>
      </c>
      <c r="BN26" s="732" t="s">
        <v>430</v>
      </c>
      <c r="BO26" s="733">
        <f t="shared" si="7"/>
        <v>8.4531272409451924E-4</v>
      </c>
      <c r="BP26" s="379">
        <f t="shared" si="74"/>
        <v>6640.4377317274993</v>
      </c>
      <c r="BQ26" s="733">
        <f t="shared" si="8"/>
        <v>2.6258127893324359E-4</v>
      </c>
      <c r="BR26" s="379">
        <f t="shared" si="75"/>
        <v>2062.73321407925</v>
      </c>
      <c r="BS26" s="807">
        <f t="shared" si="9"/>
        <v>8703.1709458067489</v>
      </c>
      <c r="BT26" s="808">
        <f t="shared" si="10"/>
        <v>1.504653</v>
      </c>
      <c r="BW26" s="1"/>
      <c r="BX26" s="10"/>
      <c r="BY26" s="10"/>
      <c r="BZ26" s="10"/>
      <c r="CA26" s="10"/>
      <c r="CB26" s="10"/>
      <c r="CC26" s="10"/>
      <c r="CD26" s="10"/>
      <c r="CE26" s="10"/>
      <c r="CI26" s="730">
        <f t="shared" si="101"/>
        <v>23</v>
      </c>
      <c r="CJ26" s="746">
        <f t="shared" si="12"/>
        <v>23</v>
      </c>
      <c r="CK26" s="732" t="s">
        <v>430</v>
      </c>
      <c r="CL26" s="733">
        <f t="shared" si="13"/>
        <v>2.6258127893324359E-4</v>
      </c>
      <c r="CM26" s="379">
        <f t="shared" si="14"/>
        <v>1405.9232196447995</v>
      </c>
      <c r="CN26" s="733">
        <f t="shared" si="15"/>
        <v>1.3401788607420131E-3</v>
      </c>
      <c r="CO26" s="379">
        <f t="shared" si="16"/>
        <v>23320.623811601421</v>
      </c>
      <c r="CP26" s="379">
        <f t="shared" si="17"/>
        <v>24726.54703124622</v>
      </c>
      <c r="CQ26" s="733">
        <f t="shared" si="18"/>
        <v>1.0866247896495025E-3</v>
      </c>
      <c r="CR26" s="808">
        <f t="shared" si="19"/>
        <v>4.2748650000000001</v>
      </c>
      <c r="DE26" s="1"/>
      <c r="DH26" s="730">
        <v>23</v>
      </c>
      <c r="DI26" s="840">
        <f t="shared" si="20"/>
        <v>23</v>
      </c>
      <c r="DJ26" s="732" t="s">
        <v>430</v>
      </c>
      <c r="DK26" s="733">
        <f t="shared" si="21"/>
        <v>1.0866247896495025E-3</v>
      </c>
      <c r="DL26" s="379">
        <f t="shared" si="77"/>
        <v>343.1017756350966</v>
      </c>
      <c r="DM26" s="733">
        <f t="shared" si="22"/>
        <v>1.3401788607420131E-3</v>
      </c>
      <c r="DN26" s="379">
        <f t="shared" si="23"/>
        <v>2618.8456342395057</v>
      </c>
      <c r="DO26" s="733">
        <f t="shared" si="24"/>
        <v>2.6258127893324359E-4</v>
      </c>
      <c r="DP26" s="379">
        <f t="shared" si="25"/>
        <v>854.30445724794811</v>
      </c>
      <c r="DQ26" s="379">
        <f t="shared" si="78"/>
        <v>3816.2518671225503</v>
      </c>
      <c r="DR26" s="733">
        <f t="shared" si="26"/>
        <v>6.9093224196130874E-4</v>
      </c>
      <c r="DS26" s="808">
        <f t="shared" si="27"/>
        <v>0.659775</v>
      </c>
      <c r="DW26" s="730">
        <f t="shared" si="102"/>
        <v>23</v>
      </c>
      <c r="DX26" s="840">
        <f t="shared" si="28"/>
        <v>23</v>
      </c>
      <c r="DY26" s="732" t="s">
        <v>430</v>
      </c>
      <c r="DZ26" s="733">
        <f t="shared" si="29"/>
        <v>1.3401788607420131E-3</v>
      </c>
      <c r="EA26" s="379">
        <f t="shared" si="30"/>
        <v>4817.3990927161631</v>
      </c>
      <c r="EB26" s="808">
        <f t="shared" si="31"/>
        <v>0.83285900000000002</v>
      </c>
      <c r="EN26" s="730">
        <f t="shared" si="103"/>
        <v>23</v>
      </c>
      <c r="EO26" s="840">
        <f t="shared" si="32"/>
        <v>23</v>
      </c>
      <c r="EP26" s="732" t="s">
        <v>430</v>
      </c>
      <c r="EQ26" s="733">
        <f t="shared" si="33"/>
        <v>8.6729949845367035E-4</v>
      </c>
      <c r="ER26" s="379">
        <f t="shared" si="34"/>
        <v>6204.3180634240489</v>
      </c>
      <c r="ES26" s="733">
        <f t="shared" si="35"/>
        <v>1.0866247896495025E-3</v>
      </c>
      <c r="ET26" s="379">
        <f t="shared" si="36"/>
        <v>1048.0533336064391</v>
      </c>
      <c r="EU26" s="733">
        <f t="shared" si="37"/>
        <v>2.6258127893324359E-4</v>
      </c>
      <c r="EV26" s="379">
        <f t="shared" si="38"/>
        <v>678.5262147888825</v>
      </c>
      <c r="EW26" s="379">
        <f t="shared" si="39"/>
        <v>7930.8976118193705</v>
      </c>
      <c r="EX26" s="733">
        <f t="shared" si="40"/>
        <v>7.4105508692300364E-4</v>
      </c>
      <c r="EY26" s="808">
        <f t="shared" si="41"/>
        <v>1.371138</v>
      </c>
      <c r="FI26" s="730">
        <f t="shared" si="104"/>
        <v>23</v>
      </c>
      <c r="FJ26" s="731">
        <f t="shared" si="42"/>
        <v>23</v>
      </c>
      <c r="FK26" s="732" t="s">
        <v>430</v>
      </c>
      <c r="FL26" s="733">
        <f t="shared" si="43"/>
        <v>8.6729949845367035E-4</v>
      </c>
      <c r="FM26" s="379">
        <f t="shared" si="44"/>
        <v>16299.704620943074</v>
      </c>
      <c r="FN26" s="808">
        <f t="shared" si="45"/>
        <v>2.8179850000000002</v>
      </c>
      <c r="FR26" s="730">
        <f t="shared" si="105"/>
        <v>23</v>
      </c>
      <c r="FS26" s="731">
        <v>23</v>
      </c>
      <c r="FT26" s="732" t="s">
        <v>430</v>
      </c>
      <c r="FU26" s="379">
        <f t="shared" si="46"/>
        <v>30501.780372920086</v>
      </c>
      <c r="FV26" s="379">
        <f t="shared" si="47"/>
        <v>8703.1709458067489</v>
      </c>
      <c r="FW26" s="379">
        <f t="shared" si="48"/>
        <v>24726.54703124622</v>
      </c>
      <c r="FX26" s="379">
        <f t="shared" si="49"/>
        <v>3816.2518671225503</v>
      </c>
      <c r="FY26" s="379">
        <f t="shared" si="50"/>
        <v>4817.3990927161631</v>
      </c>
      <c r="FZ26" s="379">
        <f t="shared" si="51"/>
        <v>7930.8976118193705</v>
      </c>
      <c r="GA26" s="379">
        <f t="shared" si="52"/>
        <v>16299.704620943074</v>
      </c>
      <c r="GB26" s="379">
        <f t="shared" si="119"/>
        <v>96795.751542574202</v>
      </c>
      <c r="GC26" s="852">
        <f t="shared" si="54"/>
        <v>16.734597000000001</v>
      </c>
      <c r="GG26" s="730">
        <f t="shared" si="79"/>
        <v>23</v>
      </c>
      <c r="GH26" s="731">
        <f t="shared" si="55"/>
        <v>23</v>
      </c>
      <c r="GI26" s="732" t="s">
        <v>430</v>
      </c>
      <c r="GJ26" s="808">
        <f t="shared" si="56"/>
        <v>5.27332</v>
      </c>
      <c r="GK26" s="808">
        <f t="shared" si="57"/>
        <v>1.504653</v>
      </c>
      <c r="GL26" s="808">
        <f t="shared" si="58"/>
        <v>4.2748650000000001</v>
      </c>
      <c r="GM26" s="808">
        <f t="shared" si="59"/>
        <v>0.659775</v>
      </c>
      <c r="GN26" s="808">
        <f t="shared" si="60"/>
        <v>0.83285900000000002</v>
      </c>
      <c r="GO26" s="808">
        <f t="shared" si="61"/>
        <v>1.371138</v>
      </c>
      <c r="GP26" s="808">
        <f t="shared" si="62"/>
        <v>2.8179850000000002</v>
      </c>
      <c r="GQ26" s="808">
        <f t="shared" si="63"/>
        <v>16.734597000000001</v>
      </c>
      <c r="GR26" s="784">
        <f t="shared" si="80"/>
        <v>578417</v>
      </c>
      <c r="GS26" s="716"/>
      <c r="GV26" s="717">
        <f t="shared" si="81"/>
        <v>23</v>
      </c>
      <c r="GW26" s="731">
        <v>23</v>
      </c>
      <c r="GX26" s="732" t="s">
        <v>430</v>
      </c>
      <c r="GY26" s="758" t="s">
        <v>397</v>
      </c>
      <c r="GZ26" s="906">
        <f t="shared" si="82"/>
        <v>96795.751542574202</v>
      </c>
      <c r="HA26" s="784">
        <f t="shared" si="83"/>
        <v>578417</v>
      </c>
      <c r="HB26" s="922">
        <f t="shared" si="109"/>
        <v>16.734597000000001</v>
      </c>
      <c r="HC26" s="942">
        <f t="shared" si="85"/>
        <v>96795.753929490005</v>
      </c>
      <c r="HD26" s="857">
        <v>-1.6334650717908517E-3</v>
      </c>
      <c r="HE26" s="54"/>
      <c r="HH26" s="54"/>
      <c r="HI26" s="54"/>
      <c r="HJ26" s="54"/>
      <c r="HK26" s="54"/>
      <c r="HL26" s="54"/>
      <c r="HM26" s="54"/>
      <c r="HN26" s="54"/>
      <c r="HQ26" s="730">
        <v>23</v>
      </c>
      <c r="HR26" s="867">
        <v>23</v>
      </c>
      <c r="HS26" s="732" t="s">
        <v>430</v>
      </c>
      <c r="HT26" s="784">
        <f t="shared" si="86"/>
        <v>578417</v>
      </c>
      <c r="HU26" s="917">
        <f t="shared" si="87"/>
        <v>16.734597000000001</v>
      </c>
      <c r="HV26" s="868"/>
      <c r="HW26" s="765"/>
      <c r="HX26" s="868">
        <v>-2.4698649999999986</v>
      </c>
      <c r="HY26" s="766">
        <v>25</v>
      </c>
      <c r="IP26" s="730">
        <v>23</v>
      </c>
      <c r="IQ26" s="867">
        <v>23</v>
      </c>
      <c r="IR26" s="732" t="s">
        <v>430</v>
      </c>
      <c r="IS26" s="913">
        <f t="shared" si="106"/>
        <v>96795.753929490005</v>
      </c>
      <c r="IT26" s="915">
        <f t="shared" si="88"/>
        <v>578417</v>
      </c>
      <c r="IU26" s="918">
        <f t="shared" si="89"/>
        <v>16.734597000000001</v>
      </c>
      <c r="IV26" s="904">
        <f t="shared" si="120"/>
        <v>84627.448374242609</v>
      </c>
      <c r="IW26" s="904">
        <f t="shared" si="91"/>
        <v>493789.55162575736</v>
      </c>
      <c r="IX26" s="913">
        <f t="shared" si="121"/>
        <v>1269.4117256136392</v>
      </c>
      <c r="IY26" s="881">
        <f t="shared" si="93"/>
        <v>95526.342203876367</v>
      </c>
      <c r="IZ26" s="928">
        <f t="shared" si="122"/>
        <v>16.515133926540258</v>
      </c>
      <c r="JA26" s="928">
        <f t="shared" si="123"/>
        <v>18.015133926540258</v>
      </c>
      <c r="JB26" s="913">
        <f t="shared" si="107"/>
        <v>96795.753929490005</v>
      </c>
      <c r="JC26" s="852">
        <v>0.2222328177184707</v>
      </c>
      <c r="JG26" s="730">
        <v>23</v>
      </c>
      <c r="JH26" s="867">
        <v>23</v>
      </c>
      <c r="JI26" s="732" t="s">
        <v>430</v>
      </c>
      <c r="JJ26" s="784">
        <f t="shared" si="96"/>
        <v>578417</v>
      </c>
      <c r="JK26" s="917">
        <f t="shared" si="97"/>
        <v>16.515133926540258</v>
      </c>
      <c r="JL26" s="868">
        <v>19.138999999999999</v>
      </c>
      <c r="JM26" s="765"/>
      <c r="JN26" s="868"/>
      <c r="JO26" s="766">
        <v>25</v>
      </c>
      <c r="JT26" s="936">
        <v>0</v>
      </c>
      <c r="JU26" s="936">
        <f t="shared" si="64"/>
        <v>0</v>
      </c>
      <c r="JV26" s="13">
        <v>0</v>
      </c>
      <c r="JW26" s="13">
        <f t="shared" si="65"/>
        <v>0</v>
      </c>
    </row>
    <row r="27" spans="3:294" ht="17.25" thickBot="1" x14ac:dyDescent="0.35">
      <c r="J27" s="456">
        <v>24</v>
      </c>
      <c r="K27" s="760">
        <v>24</v>
      </c>
      <c r="L27" s="565" t="s">
        <v>431</v>
      </c>
      <c r="M27" s="905"/>
      <c r="N27" s="945">
        <f t="shared" si="66"/>
        <v>0</v>
      </c>
      <c r="O27" s="754">
        <v>576</v>
      </c>
      <c r="P27" s="949">
        <f t="shared" si="67"/>
        <v>0</v>
      </c>
      <c r="Q27" s="697">
        <f t="shared" si="68"/>
        <v>0</v>
      </c>
      <c r="R27" s="553" t="s">
        <v>402</v>
      </c>
      <c r="V27" s="736">
        <f t="shared" si="98"/>
        <v>24</v>
      </c>
      <c r="W27" s="737">
        <f t="shared" si="0"/>
        <v>24</v>
      </c>
      <c r="X27" s="565" t="s">
        <v>431</v>
      </c>
      <c r="Y27" s="924">
        <f t="shared" si="69"/>
        <v>0</v>
      </c>
      <c r="Z27" s="945">
        <f t="shared" si="70"/>
        <v>0</v>
      </c>
      <c r="AD27" s="749">
        <v>24</v>
      </c>
      <c r="AE27" s="750">
        <v>24</v>
      </c>
      <c r="AF27" s="751" t="s">
        <v>431</v>
      </c>
      <c r="AG27" s="752">
        <v>5.4</v>
      </c>
      <c r="AQ27" s="736">
        <f t="shared" si="71"/>
        <v>24</v>
      </c>
      <c r="AR27" s="791">
        <f t="shared" si="1"/>
        <v>24</v>
      </c>
      <c r="AS27" s="565" t="s">
        <v>431</v>
      </c>
      <c r="AT27" s="565">
        <f t="shared" si="2"/>
        <v>5.4</v>
      </c>
      <c r="AU27" s="792">
        <f t="shared" si="72"/>
        <v>0</v>
      </c>
      <c r="AV27" s="792">
        <f t="shared" si="99"/>
        <v>0</v>
      </c>
      <c r="AW27" s="793">
        <f t="shared" si="3"/>
        <v>0</v>
      </c>
      <c r="AX27" s="794">
        <f t="shared" si="4"/>
        <v>18.326441541544678</v>
      </c>
      <c r="AY27" s="571">
        <f t="shared" si="108"/>
        <v>0</v>
      </c>
      <c r="AZ27" s="56">
        <f t="shared" si="73"/>
        <v>0</v>
      </c>
      <c r="BA27" s="68">
        <f t="shared" si="5"/>
        <v>0</v>
      </c>
      <c r="BE27" s="1"/>
      <c r="BF27" s="1"/>
      <c r="BG27" s="1"/>
      <c r="BH27" s="1"/>
      <c r="BL27" s="456">
        <f t="shared" si="100"/>
        <v>24</v>
      </c>
      <c r="BM27" s="553">
        <f t="shared" si="6"/>
        <v>24</v>
      </c>
      <c r="BN27" s="565" t="s">
        <v>431</v>
      </c>
      <c r="BO27" s="697">
        <f t="shared" si="7"/>
        <v>0</v>
      </c>
      <c r="BP27" s="571">
        <f t="shared" si="74"/>
        <v>0</v>
      </c>
      <c r="BQ27" s="697">
        <f t="shared" si="8"/>
        <v>0</v>
      </c>
      <c r="BR27" s="571">
        <f t="shared" si="75"/>
        <v>0</v>
      </c>
      <c r="BS27" s="811">
        <f t="shared" si="9"/>
        <v>0</v>
      </c>
      <c r="BT27" s="812">
        <f>IF($AU27=0,0,ROUND(IF(VLOOKUP(BM27,$AR$4:$AU$27,$BA$30,FALSE)&lt;&gt;0,BS27/VLOOKUP(BM27,$AR$4:$AU$27,$BA$30,FALSE)*100,""),6))</f>
        <v>0</v>
      </c>
      <c r="BW27" s="1"/>
      <c r="BX27" s="10"/>
      <c r="BY27" s="10"/>
      <c r="BZ27" s="10"/>
      <c r="CA27" s="10"/>
      <c r="CB27" s="10"/>
      <c r="CC27" s="10"/>
      <c r="CD27" s="10"/>
      <c r="CE27" s="10"/>
      <c r="CI27" s="736">
        <f t="shared" si="101"/>
        <v>24</v>
      </c>
      <c r="CJ27" s="829">
        <f t="shared" si="12"/>
        <v>24</v>
      </c>
      <c r="CK27" s="565" t="s">
        <v>431</v>
      </c>
      <c r="CL27" s="556">
        <f t="shared" si="13"/>
        <v>0</v>
      </c>
      <c r="CM27" s="458">
        <f t="shared" si="14"/>
        <v>0</v>
      </c>
      <c r="CN27" s="556">
        <f t="shared" si="15"/>
        <v>0</v>
      </c>
      <c r="CO27" s="458">
        <f t="shared" si="16"/>
        <v>0</v>
      </c>
      <c r="CP27" s="458">
        <f t="shared" si="17"/>
        <v>0</v>
      </c>
      <c r="CQ27" s="556">
        <f t="shared" si="18"/>
        <v>0</v>
      </c>
      <c r="CR27" s="555">
        <f t="shared" si="19"/>
        <v>0</v>
      </c>
      <c r="DE27" s="1"/>
      <c r="DH27" s="736">
        <v>24</v>
      </c>
      <c r="DI27" s="841">
        <f t="shared" si="20"/>
        <v>24</v>
      </c>
      <c r="DJ27" s="565" t="s">
        <v>431</v>
      </c>
      <c r="DK27" s="556">
        <f t="shared" si="21"/>
        <v>0</v>
      </c>
      <c r="DL27" s="458">
        <f t="shared" si="77"/>
        <v>0</v>
      </c>
      <c r="DM27" s="556">
        <f t="shared" si="22"/>
        <v>0</v>
      </c>
      <c r="DN27" s="458">
        <f t="shared" si="23"/>
        <v>0</v>
      </c>
      <c r="DO27" s="556">
        <f t="shared" si="24"/>
        <v>0</v>
      </c>
      <c r="DP27" s="458">
        <f t="shared" si="25"/>
        <v>0</v>
      </c>
      <c r="DQ27" s="458">
        <f t="shared" si="78"/>
        <v>0</v>
      </c>
      <c r="DR27" s="556">
        <f t="shared" si="26"/>
        <v>0</v>
      </c>
      <c r="DS27" s="555">
        <f t="shared" si="27"/>
        <v>0</v>
      </c>
      <c r="DW27" s="736">
        <f t="shared" si="102"/>
        <v>24</v>
      </c>
      <c r="DX27" s="841">
        <f t="shared" si="28"/>
        <v>24</v>
      </c>
      <c r="DY27" s="565" t="s">
        <v>431</v>
      </c>
      <c r="DZ27" s="556">
        <f t="shared" si="29"/>
        <v>0</v>
      </c>
      <c r="EA27" s="458">
        <f t="shared" si="30"/>
        <v>0</v>
      </c>
      <c r="EB27" s="555">
        <f t="shared" si="31"/>
        <v>0</v>
      </c>
      <c r="EN27" s="736">
        <f t="shared" si="103"/>
        <v>24</v>
      </c>
      <c r="EO27" s="841">
        <f t="shared" si="32"/>
        <v>24</v>
      </c>
      <c r="EP27" s="565" t="s">
        <v>431</v>
      </c>
      <c r="EQ27" s="556">
        <f t="shared" si="33"/>
        <v>0</v>
      </c>
      <c r="ER27" s="458">
        <f t="shared" si="34"/>
        <v>0</v>
      </c>
      <c r="ES27" s="556">
        <f t="shared" si="35"/>
        <v>0</v>
      </c>
      <c r="ET27" s="458">
        <f t="shared" si="36"/>
        <v>0</v>
      </c>
      <c r="EU27" s="556">
        <f t="shared" si="37"/>
        <v>0</v>
      </c>
      <c r="EV27" s="458">
        <f t="shared" si="38"/>
        <v>0</v>
      </c>
      <c r="EW27" s="458">
        <f t="shared" si="39"/>
        <v>0</v>
      </c>
      <c r="EX27" s="556">
        <f t="shared" si="40"/>
        <v>0</v>
      </c>
      <c r="EY27" s="555">
        <f t="shared" si="41"/>
        <v>0</v>
      </c>
      <c r="FI27" s="736">
        <f t="shared" si="104"/>
        <v>24</v>
      </c>
      <c r="FJ27" s="737">
        <f t="shared" si="42"/>
        <v>24</v>
      </c>
      <c r="FK27" s="565" t="s">
        <v>431</v>
      </c>
      <c r="FL27" s="556">
        <f t="shared" si="43"/>
        <v>0</v>
      </c>
      <c r="FM27" s="458">
        <f t="shared" si="44"/>
        <v>0</v>
      </c>
      <c r="FN27" s="555">
        <f t="shared" si="45"/>
        <v>0</v>
      </c>
      <c r="FR27" s="736">
        <f t="shared" si="105"/>
        <v>24</v>
      </c>
      <c r="FS27" s="737">
        <v>24</v>
      </c>
      <c r="FT27" s="565" t="s">
        <v>431</v>
      </c>
      <c r="FU27" s="458">
        <f t="shared" si="46"/>
        <v>0</v>
      </c>
      <c r="FV27" s="458">
        <f t="shared" si="47"/>
        <v>0</v>
      </c>
      <c r="FW27" s="458">
        <f t="shared" si="48"/>
        <v>0</v>
      </c>
      <c r="FX27" s="458">
        <f t="shared" si="49"/>
        <v>0</v>
      </c>
      <c r="FY27" s="458">
        <f t="shared" si="50"/>
        <v>0</v>
      </c>
      <c r="FZ27" s="458">
        <f t="shared" si="51"/>
        <v>0</v>
      </c>
      <c r="GA27" s="458">
        <f t="shared" si="52"/>
        <v>0</v>
      </c>
      <c r="GB27" s="458">
        <f t="shared" si="119"/>
        <v>0</v>
      </c>
      <c r="GC27" s="853">
        <f t="shared" si="54"/>
        <v>0</v>
      </c>
      <c r="GG27" s="736">
        <f t="shared" si="79"/>
        <v>24</v>
      </c>
      <c r="GH27" s="737">
        <f t="shared" si="55"/>
        <v>24</v>
      </c>
      <c r="GI27" s="565" t="s">
        <v>431</v>
      </c>
      <c r="GJ27" s="555">
        <f t="shared" si="56"/>
        <v>0</v>
      </c>
      <c r="GK27" s="555">
        <f t="shared" si="57"/>
        <v>0</v>
      </c>
      <c r="GL27" s="555">
        <f t="shared" si="58"/>
        <v>0</v>
      </c>
      <c r="GM27" s="555">
        <f t="shared" si="59"/>
        <v>0</v>
      </c>
      <c r="GN27" s="555">
        <f t="shared" si="60"/>
        <v>0</v>
      </c>
      <c r="GO27" s="555">
        <f t="shared" si="61"/>
        <v>0</v>
      </c>
      <c r="GP27" s="555">
        <f t="shared" si="62"/>
        <v>0</v>
      </c>
      <c r="GQ27" s="555">
        <f t="shared" si="63"/>
        <v>0</v>
      </c>
      <c r="GR27" s="792">
        <f t="shared" si="80"/>
        <v>0</v>
      </c>
      <c r="GS27" s="716"/>
      <c r="GV27" s="719">
        <f t="shared" si="81"/>
        <v>24</v>
      </c>
      <c r="GW27" s="737">
        <v>24</v>
      </c>
      <c r="GX27" s="565" t="s">
        <v>431</v>
      </c>
      <c r="GY27" s="553" t="s">
        <v>402</v>
      </c>
      <c r="GZ27" s="925">
        <f t="shared" si="82"/>
        <v>0</v>
      </c>
      <c r="HA27" s="792">
        <f t="shared" si="83"/>
        <v>0</v>
      </c>
      <c r="HB27" s="922">
        <f t="shared" si="109"/>
        <v>0</v>
      </c>
      <c r="HC27" s="942">
        <f t="shared" si="85"/>
        <v>0</v>
      </c>
      <c r="HD27" s="859">
        <v>1.3251176715129986E-3</v>
      </c>
      <c r="HE27" s="54"/>
      <c r="HH27" s="54"/>
      <c r="HI27" s="54"/>
      <c r="HJ27" s="54"/>
      <c r="HK27" s="54"/>
      <c r="HL27" s="54"/>
      <c r="HM27" s="54"/>
      <c r="HN27" s="54"/>
      <c r="HQ27" s="734">
        <v>24</v>
      </c>
      <c r="HR27" s="869">
        <v>24</v>
      </c>
      <c r="HS27" s="518" t="s">
        <v>431</v>
      </c>
      <c r="HT27" s="792">
        <f t="shared" si="86"/>
        <v>0</v>
      </c>
      <c r="HU27" s="917">
        <f t="shared" si="87"/>
        <v>0</v>
      </c>
      <c r="HV27" s="870"/>
      <c r="HW27" s="768"/>
      <c r="HX27" s="870">
        <v>-1.5297739999999997</v>
      </c>
      <c r="HY27" s="769">
        <v>10</v>
      </c>
      <c r="IP27" s="736">
        <v>24</v>
      </c>
      <c r="IQ27" s="884">
        <v>24</v>
      </c>
      <c r="IR27" s="565" t="s">
        <v>431</v>
      </c>
      <c r="IS27" s="914">
        <f t="shared" si="106"/>
        <v>0</v>
      </c>
      <c r="IT27" s="916">
        <f t="shared" si="88"/>
        <v>0</v>
      </c>
      <c r="IU27" s="920">
        <f t="shared" si="89"/>
        <v>0</v>
      </c>
      <c r="IV27" s="905">
        <v>0</v>
      </c>
      <c r="IW27" s="905">
        <f t="shared" si="91"/>
        <v>0</v>
      </c>
      <c r="IX27" s="914">
        <v>0</v>
      </c>
      <c r="IY27" s="885">
        <f t="shared" si="93"/>
        <v>0</v>
      </c>
      <c r="IZ27" s="928">
        <f>IU27</f>
        <v>0</v>
      </c>
      <c r="JA27" s="929">
        <f>IZ27</f>
        <v>0</v>
      </c>
      <c r="JB27" s="914">
        <f t="shared" si="107"/>
        <v>0</v>
      </c>
      <c r="JC27" s="886">
        <v>0</v>
      </c>
      <c r="JG27" s="734">
        <v>24</v>
      </c>
      <c r="JH27" s="869">
        <v>24</v>
      </c>
      <c r="JI27" s="518" t="s">
        <v>431</v>
      </c>
      <c r="JJ27" s="792">
        <f t="shared" si="96"/>
        <v>0</v>
      </c>
      <c r="JK27" s="917">
        <f t="shared" si="97"/>
        <v>0</v>
      </c>
      <c r="JL27" s="870">
        <v>10.321</v>
      </c>
      <c r="JM27" s="768"/>
      <c r="JN27" s="870"/>
      <c r="JO27" s="769">
        <v>10</v>
      </c>
      <c r="JT27" s="937">
        <v>4.9211555552511586</v>
      </c>
      <c r="JU27" s="937">
        <f t="shared" si="64"/>
        <v>0</v>
      </c>
      <c r="JV27" s="938">
        <f>SUM(JV3:JV26)</f>
        <v>2202811268</v>
      </c>
      <c r="JW27" s="938">
        <f t="shared" si="65"/>
        <v>0</v>
      </c>
    </row>
    <row r="28" spans="3:294" ht="17.25" thickBot="1" x14ac:dyDescent="0.35">
      <c r="G28" s="1"/>
      <c r="I28" s="1"/>
      <c r="J28" s="738">
        <v>25</v>
      </c>
      <c r="K28" s="761"/>
      <c r="L28" s="762" t="s">
        <v>72</v>
      </c>
      <c r="M28" s="755">
        <f>SUM(M4:M27)</f>
        <v>2202811268</v>
      </c>
      <c r="N28" s="742">
        <v>0.99999999999999967</v>
      </c>
      <c r="O28" s="755">
        <v>18014.483727240997</v>
      </c>
      <c r="P28" s="755">
        <f>SUM(P4:P27)</f>
        <v>1764241.7706365611</v>
      </c>
      <c r="Q28" s="742">
        <f>SUM(Q4:Q27)</f>
        <v>0.99999999999999978</v>
      </c>
      <c r="R28" s="763"/>
      <c r="S28" s="1"/>
      <c r="U28" s="1"/>
      <c r="V28" s="738">
        <f>+V27+1</f>
        <v>25</v>
      </c>
      <c r="W28" s="739"/>
      <c r="X28" s="740" t="s">
        <v>72</v>
      </c>
      <c r="Y28" s="939">
        <f>SUM(Y4:Y27)</f>
        <v>83667924.908511966</v>
      </c>
      <c r="Z28" s="742">
        <v>0.99999999999999967</v>
      </c>
      <c r="AA28" s="1"/>
      <c r="AC28" s="1"/>
      <c r="AD28" s="720"/>
      <c r="AH28" s="1"/>
      <c r="AJ28" s="1"/>
      <c r="AK28" s="1"/>
      <c r="AL28" s="1"/>
      <c r="AM28" s="1"/>
      <c r="AQ28" s="738">
        <f>+AQ27+1</f>
        <v>25</v>
      </c>
      <c r="AR28" s="795"/>
      <c r="AS28" s="796" t="s">
        <v>72</v>
      </c>
      <c r="AT28" s="797">
        <f>AM7</f>
        <v>3.1019864894695965</v>
      </c>
      <c r="AU28" s="755">
        <f>SUM(AU4:AU27)</f>
        <v>2202811268</v>
      </c>
      <c r="AV28" s="755">
        <f>SUM(AV4:AV27)</f>
        <v>1902633.8500944439</v>
      </c>
      <c r="AW28" s="755">
        <f>SUM(AW4:AW27)</f>
        <v>1968927.1041759744</v>
      </c>
      <c r="AX28" s="798">
        <f>SUMPRODUCT(AX4:AX27,AU4:AU27)/AU28</f>
        <v>18.326441541544686</v>
      </c>
      <c r="AY28" s="799">
        <f>SUM(AY4:AY27)</f>
        <v>36083427.47424385</v>
      </c>
      <c r="AZ28" s="73">
        <f t="shared" si="73"/>
        <v>1</v>
      </c>
      <c r="BA28" s="74">
        <f>AY28*100/$M$28</f>
        <v>1.6380625974827658</v>
      </c>
      <c r="BB28" s="1"/>
      <c r="BD28" s="1"/>
      <c r="BE28" s="49"/>
      <c r="BF28" s="49"/>
      <c r="BG28" s="49"/>
      <c r="BH28" s="49"/>
      <c r="BI28" s="1"/>
      <c r="BK28" s="1"/>
      <c r="BL28" s="813">
        <f>+BL27+1</f>
        <v>25</v>
      </c>
      <c r="BM28" s="814"/>
      <c r="BN28" s="815" t="s">
        <v>72</v>
      </c>
      <c r="BO28" s="816">
        <f>SUM(BO4:BO27)</f>
        <v>1.0000000000000002</v>
      </c>
      <c r="BP28" s="817">
        <f>BH4</f>
        <v>7855598.930964387</v>
      </c>
      <c r="BQ28" s="818">
        <f>SUM(BQ4:BQ27)</f>
        <v>1</v>
      </c>
      <c r="BR28" s="817">
        <f>BH5</f>
        <v>7855598.930964387</v>
      </c>
      <c r="BS28" s="819">
        <f>D6</f>
        <v>15711197.861928774</v>
      </c>
      <c r="BT28" s="820">
        <f>BS28*100/$M$28</f>
        <v>0.71323395200322592</v>
      </c>
      <c r="BU28" s="1"/>
      <c r="BW28" s="1"/>
      <c r="BX28" s="10"/>
      <c r="BY28" s="10"/>
      <c r="BZ28" s="10"/>
      <c r="CA28" s="10"/>
      <c r="CB28" s="10"/>
      <c r="CC28" s="10"/>
      <c r="CD28" s="10"/>
      <c r="CE28" s="10"/>
      <c r="CF28" s="1"/>
      <c r="CI28" s="738">
        <f>CI27+1</f>
        <v>25</v>
      </c>
      <c r="CJ28" s="739"/>
      <c r="CK28" s="762" t="s">
        <v>72</v>
      </c>
      <c r="CL28" s="830">
        <f>SUM(CL4:CL27)</f>
        <v>1</v>
      </c>
      <c r="CM28" s="817">
        <f>CD9</f>
        <v>5354240.1246443363</v>
      </c>
      <c r="CN28" s="830">
        <f>SUM(CN4:CN27)</f>
        <v>0.99999999999999978</v>
      </c>
      <c r="CO28" s="817">
        <f>CE9</f>
        <v>17401127.935035147</v>
      </c>
      <c r="CP28" s="817">
        <f>SUM(CP4:CP27)</f>
        <v>22755368.059679478</v>
      </c>
      <c r="CQ28" s="830">
        <f>SUM(CQ4:CQ27)</f>
        <v>1</v>
      </c>
      <c r="CR28" s="820">
        <f>CP28*100/$M$28</f>
        <v>1.0330148746851009</v>
      </c>
      <c r="CU28" s="1"/>
      <c r="DE28" s="1"/>
      <c r="DG28" s="78"/>
      <c r="DH28" s="738">
        <v>25</v>
      </c>
      <c r="DI28" s="71"/>
      <c r="DJ28" s="72" t="s">
        <v>72</v>
      </c>
      <c r="DK28" s="77">
        <f>SUM(DK4:DK27)</f>
        <v>1</v>
      </c>
      <c r="DL28" s="60">
        <f>DA7</f>
        <v>315749.99843852833</v>
      </c>
      <c r="DM28" s="77">
        <f>SUM(DM4:DM27)</f>
        <v>0.99999999999999978</v>
      </c>
      <c r="DN28" s="60">
        <f>DB7</f>
        <v>1954101.5837166219</v>
      </c>
      <c r="DO28" s="77">
        <f>SUM(DO4:DO27)</f>
        <v>1</v>
      </c>
      <c r="DP28" s="60">
        <f>DC7</f>
        <v>3253485.7805500259</v>
      </c>
      <c r="DQ28" s="60">
        <f>SUM(DQ4:DQ27)</f>
        <v>5523337.3627051767</v>
      </c>
      <c r="DR28" s="77">
        <f>SUM(DR4:DR27)</f>
        <v>0.99999999999999989</v>
      </c>
      <c r="DS28" s="76">
        <f>DQ28*100/$M$28</f>
        <v>0.25074038084615324</v>
      </c>
      <c r="DT28" s="49"/>
      <c r="DV28" s="49"/>
      <c r="DW28" s="738">
        <f>DW27+1</f>
        <v>25</v>
      </c>
      <c r="DX28" s="71"/>
      <c r="DY28" s="72" t="s">
        <v>72</v>
      </c>
      <c r="DZ28" s="77">
        <f>SUM(DZ4:DZ27)</f>
        <v>0.99999999999999978</v>
      </c>
      <c r="EA28" s="60">
        <f>D9</f>
        <v>3594594.1499546762</v>
      </c>
      <c r="EB28" s="76">
        <f>EA28*100/$M$28</f>
        <v>0.16318212105471561</v>
      </c>
      <c r="EC28" s="49"/>
      <c r="EE28" s="1"/>
      <c r="EK28" s="1"/>
      <c r="EM28" s="1"/>
      <c r="EN28" s="738">
        <f>+EN27+1</f>
        <v>25</v>
      </c>
      <c r="EO28" s="71"/>
      <c r="EP28" s="72" t="s">
        <v>72</v>
      </c>
      <c r="EQ28" s="77">
        <f>SUM(EQ4:EQ27)</f>
        <v>1.0000000000000002</v>
      </c>
      <c r="ER28" s="60">
        <f>EJ4</f>
        <v>7153605.0401111506</v>
      </c>
      <c r="ES28" s="77">
        <f>SUM(ES4:ES27)</f>
        <v>1</v>
      </c>
      <c r="ET28" s="60">
        <f>EJ5</f>
        <v>964503.42711626808</v>
      </c>
      <c r="EU28" s="77">
        <f>SUM(EU4:EU27)</f>
        <v>1</v>
      </c>
      <c r="EV28" s="60">
        <f>EJ6</f>
        <v>2584061.6571959998</v>
      </c>
      <c r="EW28" s="60">
        <f>SUM(EW4:EW27)</f>
        <v>10702170.12442342</v>
      </c>
      <c r="EX28" s="77">
        <f>SUM(EX4:EX27)</f>
        <v>0.99999999999999989</v>
      </c>
      <c r="EY28" s="76">
        <f>EW28*100/$M$28</f>
        <v>0.48584144633236098</v>
      </c>
      <c r="EZ28" s="1"/>
      <c r="FB28" s="1"/>
      <c r="FF28" s="1"/>
      <c r="FH28" s="49"/>
      <c r="FI28" s="738">
        <f>+FI27+1</f>
        <v>25</v>
      </c>
      <c r="FJ28" s="79"/>
      <c r="FK28" s="58" t="s">
        <v>72</v>
      </c>
      <c r="FL28" s="77">
        <f t="shared" si="43"/>
        <v>0.99999999999999967</v>
      </c>
      <c r="FM28" s="60">
        <f>FE6</f>
        <v>18793628.556230251</v>
      </c>
      <c r="FN28" s="76">
        <f>FM28*100/$M$28</f>
        <v>0.85316562654473638</v>
      </c>
      <c r="FO28" s="1"/>
      <c r="FR28" s="738">
        <f>+FR27+1</f>
        <v>25</v>
      </c>
      <c r="FS28" s="80"/>
      <c r="FT28" s="75" t="s">
        <v>72</v>
      </c>
      <c r="FU28" s="817">
        <f t="shared" ref="FU28:GA28" si="124">SUM(FU4:FU27)</f>
        <v>36083427.47424385</v>
      </c>
      <c r="FV28" s="817">
        <f t="shared" si="124"/>
        <v>15711197.861928776</v>
      </c>
      <c r="FW28" s="817">
        <f t="shared" si="124"/>
        <v>22755368.059679478</v>
      </c>
      <c r="FX28" s="817">
        <f t="shared" si="124"/>
        <v>5523337.3627051767</v>
      </c>
      <c r="FY28" s="817">
        <f t="shared" si="124"/>
        <v>3594594.1499546748</v>
      </c>
      <c r="FZ28" s="817">
        <f t="shared" si="124"/>
        <v>10702170.12442342</v>
      </c>
      <c r="GA28" s="817">
        <f t="shared" si="124"/>
        <v>18793628.556230254</v>
      </c>
      <c r="GB28" s="817">
        <f>SUM(FU28:GA28)</f>
        <v>113163723.58916563</v>
      </c>
      <c r="GC28" s="854">
        <v>5.1731248696411978</v>
      </c>
      <c r="GD28" s="1"/>
      <c r="GG28" s="738">
        <v>25</v>
      </c>
      <c r="GH28" s="855"/>
      <c r="GI28" s="762" t="s">
        <v>72</v>
      </c>
      <c r="GJ28" s="820">
        <f t="shared" ref="GJ28:GQ28" si="125">FU28*100/$GR$28</f>
        <v>1.6380625974827658</v>
      </c>
      <c r="GK28" s="820">
        <f t="shared" si="125"/>
        <v>0.71323395200322603</v>
      </c>
      <c r="GL28" s="820">
        <f t="shared" si="125"/>
        <v>1.0330148746851009</v>
      </c>
      <c r="GM28" s="820">
        <f t="shared" si="125"/>
        <v>0.25074038084615324</v>
      </c>
      <c r="GN28" s="820">
        <f t="shared" si="125"/>
        <v>0.16318212105471555</v>
      </c>
      <c r="GO28" s="820">
        <f t="shared" si="125"/>
        <v>0.48584144633236098</v>
      </c>
      <c r="GP28" s="820">
        <f t="shared" si="125"/>
        <v>0.85316562654473649</v>
      </c>
      <c r="GQ28" s="854">
        <f t="shared" si="125"/>
        <v>5.1372409989490588</v>
      </c>
      <c r="GR28" s="755">
        <f>SUM(GR4:GR27)</f>
        <v>2202811268</v>
      </c>
      <c r="GS28" s="716"/>
      <c r="GV28" s="721">
        <v>25</v>
      </c>
      <c r="GW28" s="80"/>
      <c r="GX28" s="75" t="s">
        <v>72</v>
      </c>
      <c r="GY28" s="70"/>
      <c r="GZ28" s="60">
        <f>SUM(GZ4:GZ27)</f>
        <v>113163723.5891656</v>
      </c>
      <c r="HA28" s="81">
        <f>SUM(HA4:HA27)</f>
        <v>2202811268</v>
      </c>
      <c r="HB28" s="923">
        <f>IF(HA28&lt;&gt;0,GZ28/HA28*100,0)</f>
        <v>5.1372409989490571</v>
      </c>
      <c r="HC28" s="60">
        <f>SUM(HC4:HC27)</f>
        <v>113163724.22889256</v>
      </c>
      <c r="HD28" s="62">
        <f>SUM(HD4:HD27)</f>
        <v>-2.9150733718854553</v>
      </c>
      <c r="HE28" s="82"/>
      <c r="HH28" s="82"/>
      <c r="HI28" s="82"/>
      <c r="HJ28" s="82"/>
      <c r="HK28" s="82"/>
      <c r="HL28" s="82"/>
      <c r="HM28" s="82"/>
      <c r="HN28" s="82"/>
      <c r="HQ28" s="738">
        <v>25</v>
      </c>
      <c r="HR28" s="871" t="s">
        <v>72</v>
      </c>
      <c r="HS28" s="762"/>
      <c r="HT28" s="872">
        <v>2172816411.6368828</v>
      </c>
      <c r="HU28" s="921">
        <f>SUMPRODUCT(HT4:HT27,HU4:HU27)/SUM(HT4:HT27)</f>
        <v>5.1372410279904441</v>
      </c>
      <c r="HV28" s="873"/>
      <c r="HW28" s="874"/>
      <c r="HX28" s="873">
        <v>-1.1081743881537101</v>
      </c>
      <c r="HY28" s="875"/>
      <c r="HZ28" s="1"/>
      <c r="IB28" s="1"/>
      <c r="IM28" s="1"/>
      <c r="IO28" s="1"/>
      <c r="IP28" s="887">
        <v>25</v>
      </c>
      <c r="IQ28" s="871" t="s">
        <v>72</v>
      </c>
      <c r="IR28" s="762"/>
      <c r="IS28" s="888">
        <f>SUM(IS4:IS27)</f>
        <v>113163724.22889256</v>
      </c>
      <c r="IT28" s="872">
        <f>M28</f>
        <v>2202811268</v>
      </c>
      <c r="IU28" s="889">
        <f t="shared" si="89"/>
        <v>5.1372409989490571</v>
      </c>
      <c r="IV28" s="912">
        <f>SUM(IV4:IV27)</f>
        <v>317330342.80080217</v>
      </c>
      <c r="IW28" s="912">
        <f>IT28-IV28</f>
        <v>1885480925.1991978</v>
      </c>
      <c r="IX28" s="888">
        <f>SUM(IX4:IX27)</f>
        <v>4759955.1420120327</v>
      </c>
      <c r="IY28" s="888">
        <f>SUM(IY4:IY27)</f>
        <v>108403769.08688049</v>
      </c>
      <c r="IZ28" s="854">
        <f>IY28/IT28*100</f>
        <v>4.9211555552511586</v>
      </c>
      <c r="JA28" s="931">
        <f>SUMPRODUCT(IV4:IV27,JA4:JA27)/SUM(IV4:IV27)</f>
        <v>6.39637278817069</v>
      </c>
      <c r="JB28" s="888">
        <v>112402506.296179</v>
      </c>
      <c r="JC28" s="890"/>
      <c r="JG28" s="738">
        <v>25</v>
      </c>
      <c r="JH28" s="871" t="s">
        <v>72</v>
      </c>
      <c r="JI28" s="762"/>
      <c r="JJ28" s="872">
        <f>M28</f>
        <v>2202811268</v>
      </c>
      <c r="JK28" s="917">
        <f t="shared" si="97"/>
        <v>4.9211555552511586</v>
      </c>
      <c r="JL28" s="873">
        <v>6.0600640732101736</v>
      </c>
      <c r="JM28" s="874">
        <v>-0.18249978315112181</v>
      </c>
      <c r="JN28" s="873">
        <v>-1.1059603792427604</v>
      </c>
      <c r="JO28" s="875"/>
      <c r="JP28" s="25"/>
      <c r="JS28" s="1"/>
      <c r="KG28" s="1"/>
      <c r="KH28" s="69"/>
    </row>
    <row r="29" spans="3:294" x14ac:dyDescent="0.3">
      <c r="G29" s="49"/>
      <c r="I29" s="49"/>
      <c r="M29" s="14"/>
      <c r="O29" s="14"/>
      <c r="P29" s="14"/>
      <c r="S29" s="49"/>
      <c r="U29" s="49"/>
      <c r="V29" s="743"/>
      <c r="W29" s="744"/>
      <c r="X29" s="744"/>
      <c r="Y29" s="946">
        <f>Y28-SUM(D4:D9)</f>
        <v>0</v>
      </c>
      <c r="Z29" s="745"/>
      <c r="AA29" s="49"/>
      <c r="AC29" s="49"/>
      <c r="AH29" s="49"/>
      <c r="AJ29" s="49"/>
      <c r="AK29" s="49"/>
      <c r="AL29" s="49"/>
      <c r="AM29" s="49"/>
      <c r="AQ29" s="800"/>
      <c r="AR29" s="800"/>
      <c r="AS29" s="744"/>
      <c r="AT29" s="744"/>
      <c r="AU29" s="744"/>
      <c r="AV29" s="744"/>
      <c r="AW29" s="801"/>
      <c r="AX29" s="744"/>
      <c r="AY29" s="744"/>
      <c r="AZ29" s="49"/>
      <c r="BA29" s="49"/>
      <c r="BB29" s="49"/>
      <c r="BD29" s="49"/>
      <c r="BE29" s="49"/>
      <c r="BF29" s="49"/>
      <c r="BG29" s="49"/>
      <c r="BH29" s="49"/>
      <c r="BI29" s="49"/>
      <c r="BK29" s="49"/>
      <c r="BU29" s="49"/>
      <c r="BW29" s="42"/>
      <c r="BX29" s="10"/>
      <c r="BY29" s="10"/>
      <c r="BZ29" s="10"/>
      <c r="CA29" s="10"/>
      <c r="CB29" s="10"/>
      <c r="CC29" s="10"/>
      <c r="CD29" s="10"/>
      <c r="CE29" s="10"/>
      <c r="CF29" s="49"/>
      <c r="CH29" s="1"/>
      <c r="CI29" s="25"/>
      <c r="CM29" s="4"/>
      <c r="CO29" s="4"/>
      <c r="CP29" s="4"/>
      <c r="CS29" s="1"/>
      <c r="CU29" s="49"/>
      <c r="DE29" s="42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V29" s="49"/>
      <c r="DW29" s="78"/>
      <c r="DX29" s="49"/>
      <c r="DY29" s="49"/>
      <c r="DZ29" s="49"/>
      <c r="EA29" s="49"/>
      <c r="EB29" s="49"/>
      <c r="EC29" s="49"/>
      <c r="EE29" s="49"/>
      <c r="EK29" s="49"/>
      <c r="EM29" s="49"/>
      <c r="EN29" s="49"/>
      <c r="EO29" s="49"/>
      <c r="EP29" s="49"/>
      <c r="EQ29" s="49"/>
      <c r="ER29" s="49"/>
      <c r="ES29" s="49"/>
      <c r="ET29" s="49"/>
      <c r="EU29" s="49"/>
      <c r="EV29" s="83"/>
      <c r="EW29" s="49"/>
      <c r="EX29" s="49"/>
      <c r="EY29" s="49"/>
      <c r="EZ29" s="49"/>
      <c r="FB29" s="49"/>
      <c r="FF29" s="49"/>
      <c r="FH29" s="49"/>
      <c r="FI29" s="49"/>
      <c r="FJ29" s="49"/>
      <c r="FK29" s="49"/>
      <c r="FL29" s="49"/>
      <c r="FM29" s="49"/>
      <c r="FN29" s="49"/>
      <c r="FO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716"/>
      <c r="HC29" s="941">
        <f>HC28-D13</f>
        <v>1721.1585599929094</v>
      </c>
      <c r="HE29" s="11"/>
      <c r="HH29" s="54"/>
      <c r="HI29" s="54"/>
      <c r="HJ29" s="54"/>
      <c r="HK29" s="54"/>
      <c r="HL29" s="54"/>
      <c r="HM29" s="11"/>
      <c r="HN29" s="11"/>
      <c r="HZ29" s="49"/>
      <c r="IB29" s="49"/>
      <c r="IP29" s="78"/>
      <c r="IQ29" s="49"/>
      <c r="IS29" s="11"/>
      <c r="IV29" s="930"/>
      <c r="IW29" s="930"/>
      <c r="JB29" s="11"/>
    </row>
    <row r="30" spans="3:294" x14ac:dyDescent="0.3">
      <c r="G30" s="49"/>
      <c r="I30" s="49"/>
      <c r="J30" s="846"/>
      <c r="K30" s="846"/>
      <c r="L30" s="846" t="s">
        <v>432</v>
      </c>
      <c r="M30" s="856">
        <v>3</v>
      </c>
      <c r="N30" s="856"/>
      <c r="O30" s="856"/>
      <c r="P30" s="856"/>
      <c r="Q30" s="856"/>
      <c r="R30" s="856">
        <v>4</v>
      </c>
      <c r="S30" s="49"/>
      <c r="U30" s="49"/>
      <c r="V30" s="892"/>
      <c r="W30" s="892"/>
      <c r="X30" s="892" t="s">
        <v>438</v>
      </c>
      <c r="Y30" s="856">
        <v>2</v>
      </c>
      <c r="Z30" s="856">
        <f>Y30+1</f>
        <v>3</v>
      </c>
      <c r="AA30" s="49"/>
      <c r="AC30" s="49"/>
      <c r="AH30" s="49"/>
      <c r="AJ30" s="49"/>
      <c r="AK30" s="49"/>
      <c r="AL30" s="49"/>
      <c r="AM30" s="49"/>
      <c r="AQ30" s="802" t="s">
        <v>432</v>
      </c>
      <c r="AR30" s="803"/>
      <c r="AS30" s="802"/>
      <c r="AT30" s="802">
        <v>3</v>
      </c>
      <c r="AU30" s="802">
        <v>3</v>
      </c>
      <c r="AV30" s="802"/>
      <c r="AW30" s="802"/>
      <c r="AX30" s="802"/>
      <c r="AY30" s="802"/>
      <c r="AZ30" s="84"/>
      <c r="BA30" s="84">
        <v>4</v>
      </c>
      <c r="BB30" s="49"/>
      <c r="BD30" s="49"/>
      <c r="BE30" s="49"/>
      <c r="BF30" s="49"/>
      <c r="BG30" s="49"/>
      <c r="BH30" s="49"/>
      <c r="BI30" s="49"/>
      <c r="BK30" s="49"/>
      <c r="BL30" s="849"/>
      <c r="BM30" s="849"/>
      <c r="BN30" s="849" t="s">
        <v>432</v>
      </c>
      <c r="BO30" s="849">
        <v>9</v>
      </c>
      <c r="BP30" s="849"/>
      <c r="BQ30" s="849">
        <v>4</v>
      </c>
      <c r="BR30" s="849"/>
      <c r="BS30" s="849"/>
      <c r="BT30" s="849">
        <v>4</v>
      </c>
      <c r="BU30" s="49"/>
      <c r="BW30" s="42"/>
      <c r="BX30" s="10"/>
      <c r="BY30" s="10"/>
      <c r="BZ30" s="10"/>
      <c r="CA30" s="10"/>
      <c r="CB30" s="10"/>
      <c r="CC30" s="10"/>
      <c r="CD30" s="10"/>
      <c r="CE30" s="10"/>
      <c r="CF30" s="49"/>
      <c r="CH30" s="49"/>
      <c r="CK30" s="844" t="s">
        <v>434</v>
      </c>
      <c r="CM30" s="4"/>
      <c r="CO30" s="4"/>
      <c r="CP30" s="4"/>
      <c r="CS30" s="49"/>
      <c r="CU30" s="49"/>
      <c r="DE30" s="42"/>
      <c r="DG30" s="49"/>
      <c r="DH30" s="49"/>
      <c r="DI30" s="49"/>
      <c r="DJ30" s="844" t="s">
        <v>435</v>
      </c>
      <c r="DK30" s="85"/>
      <c r="DL30" s="85"/>
      <c r="DM30" s="85"/>
      <c r="DN30" s="85"/>
      <c r="DO30" s="85"/>
      <c r="DP30" s="85"/>
      <c r="DQ30" s="85"/>
      <c r="DR30" s="85"/>
      <c r="DS30" s="85"/>
      <c r="DV30" s="49"/>
      <c r="DW30" s="49"/>
      <c r="DX30" s="49"/>
      <c r="DY30" s="844" t="s">
        <v>443</v>
      </c>
      <c r="DZ30" s="85"/>
      <c r="EA30" s="85"/>
      <c r="EB30" s="85"/>
      <c r="EE30" s="49"/>
      <c r="EK30" s="49"/>
      <c r="EM30" s="49"/>
      <c r="EN30" s="49"/>
      <c r="EO30" s="49"/>
      <c r="EP30" s="844" t="s">
        <v>436</v>
      </c>
      <c r="EQ30" s="3"/>
      <c r="ER30" s="3"/>
      <c r="ES30" s="3"/>
      <c r="ET30" s="3"/>
      <c r="EU30" s="3"/>
      <c r="EV30" s="3"/>
      <c r="EW30" s="3"/>
      <c r="EX30" s="3"/>
      <c r="EY30" s="3"/>
      <c r="EZ30" s="49"/>
      <c r="FB30" s="49"/>
      <c r="FF30" s="49"/>
      <c r="FH30" s="49"/>
      <c r="FI30" s="849"/>
      <c r="FJ30" s="893" t="s">
        <v>432</v>
      </c>
      <c r="FK30" s="894"/>
      <c r="FL30" s="847"/>
      <c r="FM30" s="847"/>
      <c r="FN30" s="847">
        <v>4</v>
      </c>
      <c r="FO30" s="49"/>
      <c r="FR30" s="846"/>
      <c r="FS30" s="846"/>
      <c r="FT30" s="846" t="s">
        <v>432</v>
      </c>
      <c r="FU30" s="846">
        <v>8</v>
      </c>
      <c r="FV30" s="846">
        <v>7</v>
      </c>
      <c r="FW30" s="846">
        <v>7</v>
      </c>
      <c r="FX30" s="846">
        <v>9</v>
      </c>
      <c r="FY30" s="846">
        <v>4</v>
      </c>
      <c r="FZ30" s="846"/>
      <c r="GA30" s="846">
        <v>4</v>
      </c>
      <c r="GB30" s="846"/>
      <c r="GC30" s="846">
        <v>4</v>
      </c>
      <c r="GG30" s="846"/>
      <c r="GH30" s="846"/>
      <c r="GI30" s="846" t="s">
        <v>432</v>
      </c>
      <c r="GJ30" s="846">
        <v>10</v>
      </c>
      <c r="GK30" s="846">
        <v>8</v>
      </c>
      <c r="GL30" s="846">
        <v>9</v>
      </c>
      <c r="GM30" s="846">
        <v>11</v>
      </c>
      <c r="GN30" s="846">
        <v>5</v>
      </c>
      <c r="GO30" s="846">
        <v>11</v>
      </c>
      <c r="GP30" s="846">
        <v>5</v>
      </c>
      <c r="GQ30" s="846">
        <v>11</v>
      </c>
      <c r="GR30" s="846">
        <v>3</v>
      </c>
      <c r="GS30" s="716"/>
      <c r="HA30" s="716" t="s">
        <v>439</v>
      </c>
      <c r="HB30" s="860"/>
      <c r="HC30" s="860">
        <f>31.49*100</f>
        <v>3149</v>
      </c>
      <c r="HE30" s="11"/>
      <c r="HH30" s="54"/>
      <c r="HI30" s="54"/>
      <c r="HJ30" s="54"/>
      <c r="HK30" s="54"/>
      <c r="HL30" s="54"/>
      <c r="HM30" s="11"/>
      <c r="HN30" s="11"/>
      <c r="HQ30" s="846" t="s">
        <v>437</v>
      </c>
      <c r="HR30" s="846"/>
      <c r="HS30" s="846"/>
      <c r="HT30" s="846">
        <v>3</v>
      </c>
      <c r="HU30" s="846"/>
      <c r="HV30" s="846">
        <v>11</v>
      </c>
      <c r="HW30" s="846"/>
      <c r="HX30" s="846"/>
      <c r="HY30" s="846">
        <v>6</v>
      </c>
      <c r="HZ30" s="49"/>
      <c r="IB30" s="49"/>
      <c r="IP30" s="49"/>
      <c r="IQ30" s="49"/>
      <c r="JB30" s="11"/>
      <c r="JG30" s="846" t="s">
        <v>437</v>
      </c>
      <c r="JH30" s="846"/>
      <c r="JI30" s="846"/>
      <c r="JJ30" s="846">
        <v>3</v>
      </c>
      <c r="JK30" s="846"/>
      <c r="JL30" s="846">
        <v>5</v>
      </c>
      <c r="JM30" s="846"/>
      <c r="JN30" s="846"/>
      <c r="JO30" s="846">
        <v>6</v>
      </c>
    </row>
    <row r="31" spans="3:294" x14ac:dyDescent="0.3">
      <c r="I31" s="49"/>
      <c r="U31" s="49"/>
      <c r="V31" s="518"/>
      <c r="W31" s="518"/>
      <c r="X31" s="518"/>
      <c r="Y31" s="518"/>
      <c r="Z31" s="518"/>
      <c r="AC31" s="49"/>
      <c r="AJ31" s="49"/>
      <c r="AK31" s="49"/>
      <c r="AL31" s="49"/>
      <c r="AM31" s="49"/>
      <c r="AP31" s="87"/>
      <c r="AQ31" s="803" t="s">
        <v>438</v>
      </c>
      <c r="AR31" s="803"/>
      <c r="AS31" s="803">
        <v>2</v>
      </c>
      <c r="AT31" s="803">
        <f>+AS31+1</f>
        <v>3</v>
      </c>
      <c r="AU31" s="803">
        <f t="shared" ref="AU31:AY31" si="126">+AT31+1</f>
        <v>4</v>
      </c>
      <c r="AV31" s="803">
        <f t="shared" si="126"/>
        <v>5</v>
      </c>
      <c r="AW31" s="803">
        <f t="shared" si="126"/>
        <v>6</v>
      </c>
      <c r="AX31" s="803">
        <f t="shared" si="126"/>
        <v>7</v>
      </c>
      <c r="AY31" s="803">
        <f t="shared" si="126"/>
        <v>8</v>
      </c>
      <c r="AZ31" s="86"/>
      <c r="BA31" s="86">
        <f>+AY31+1</f>
        <v>9</v>
      </c>
      <c r="BD31" s="49"/>
      <c r="BE31" s="49"/>
      <c r="BF31" s="49"/>
      <c r="BG31" s="49"/>
      <c r="BH31" s="49"/>
      <c r="BK31" s="49"/>
      <c r="BW31" s="42"/>
      <c r="BX31" s="10"/>
      <c r="BY31" s="10"/>
      <c r="BZ31" s="10"/>
      <c r="CA31" s="10"/>
      <c r="CB31" s="10"/>
      <c r="CC31" s="10"/>
      <c r="CD31" s="10"/>
      <c r="CE31" s="10"/>
      <c r="CH31" s="49"/>
      <c r="CI31" s="849"/>
      <c r="CJ31" s="849" t="s">
        <v>432</v>
      </c>
      <c r="CK31" s="849"/>
      <c r="CL31" s="849">
        <v>4</v>
      </c>
      <c r="CM31" s="849"/>
      <c r="CN31" s="849">
        <v>7</v>
      </c>
      <c r="CO31" s="849"/>
      <c r="CP31" s="849"/>
      <c r="CQ31" s="849"/>
      <c r="CR31" s="849">
        <v>4</v>
      </c>
      <c r="CS31" s="49"/>
      <c r="CU31" s="49"/>
      <c r="DE31" s="10"/>
      <c r="DG31" s="49"/>
      <c r="DH31" s="849"/>
      <c r="DI31" s="849"/>
      <c r="DJ31" s="849" t="s">
        <v>432</v>
      </c>
      <c r="DK31" s="849">
        <v>8</v>
      </c>
      <c r="DL31" s="849"/>
      <c r="DM31" s="849">
        <v>7</v>
      </c>
      <c r="DN31" s="849"/>
      <c r="DO31" s="849">
        <v>4</v>
      </c>
      <c r="DP31" s="849"/>
      <c r="DQ31" s="849"/>
      <c r="DR31" s="849"/>
      <c r="DS31" s="849">
        <v>4</v>
      </c>
      <c r="DV31" s="49"/>
      <c r="DY31" s="844" t="s">
        <v>444</v>
      </c>
      <c r="EE31" s="49"/>
      <c r="EM31" s="49"/>
      <c r="EN31" s="849"/>
      <c r="EO31" s="849"/>
      <c r="EP31" s="849" t="s">
        <v>432</v>
      </c>
      <c r="EQ31" s="847">
        <v>4</v>
      </c>
      <c r="ER31" s="847"/>
      <c r="ES31" s="847">
        <v>8</v>
      </c>
      <c r="ET31" s="847"/>
      <c r="EU31" s="847">
        <v>4</v>
      </c>
      <c r="EV31" s="850"/>
      <c r="EW31" s="847"/>
      <c r="EX31" s="847"/>
      <c r="EY31" s="847">
        <v>4</v>
      </c>
      <c r="FB31" s="49"/>
      <c r="FH31" s="49"/>
      <c r="FI31" s="849"/>
      <c r="FJ31" s="893" t="s">
        <v>438</v>
      </c>
      <c r="FK31" s="894"/>
      <c r="FL31" s="847"/>
      <c r="FM31" s="847">
        <f>Z30+1</f>
        <v>4</v>
      </c>
      <c r="FN31" s="847">
        <f t="shared" ref="FN31" si="127">FM31+1</f>
        <v>5</v>
      </c>
      <c r="FR31" s="846"/>
      <c r="FS31" s="846"/>
      <c r="FT31" s="846" t="s">
        <v>438</v>
      </c>
      <c r="FU31" s="846">
        <v>1</v>
      </c>
      <c r="FV31" s="846">
        <f t="shared" ref="FV31:GC31" si="128">+FU31+1</f>
        <v>2</v>
      </c>
      <c r="FW31" s="846">
        <f t="shared" si="128"/>
        <v>3</v>
      </c>
      <c r="FX31" s="846">
        <f t="shared" si="128"/>
        <v>4</v>
      </c>
      <c r="FY31" s="846">
        <f t="shared" si="128"/>
        <v>5</v>
      </c>
      <c r="FZ31" s="846">
        <v>9</v>
      </c>
      <c r="GA31" s="846">
        <f t="shared" si="128"/>
        <v>10</v>
      </c>
      <c r="GB31" s="846">
        <f t="shared" si="128"/>
        <v>11</v>
      </c>
      <c r="GC31" s="846">
        <f t="shared" si="128"/>
        <v>12</v>
      </c>
      <c r="GG31" s="846"/>
      <c r="GH31" s="846"/>
      <c r="GI31" s="846" t="s">
        <v>438</v>
      </c>
      <c r="GJ31" s="846">
        <v>3</v>
      </c>
      <c r="GK31" s="846">
        <f t="shared" ref="GK31:GR31" si="129">+GJ31+1</f>
        <v>4</v>
      </c>
      <c r="GL31" s="846">
        <f t="shared" si="129"/>
        <v>5</v>
      </c>
      <c r="GM31" s="846">
        <f t="shared" si="129"/>
        <v>6</v>
      </c>
      <c r="GN31" s="846">
        <f t="shared" si="129"/>
        <v>7</v>
      </c>
      <c r="GO31" s="846">
        <f t="shared" si="129"/>
        <v>8</v>
      </c>
      <c r="GP31" s="846">
        <f t="shared" si="129"/>
        <v>9</v>
      </c>
      <c r="GQ31" s="846">
        <f t="shared" si="129"/>
        <v>10</v>
      </c>
      <c r="GR31" s="846">
        <f t="shared" si="129"/>
        <v>11</v>
      </c>
      <c r="GS31" s="716"/>
      <c r="GV31" s="846"/>
      <c r="GW31" s="846"/>
      <c r="GX31" s="846" t="s">
        <v>437</v>
      </c>
      <c r="GY31" s="856">
        <v>4</v>
      </c>
      <c r="GZ31" s="856">
        <v>10</v>
      </c>
      <c r="HA31" s="856">
        <v>11</v>
      </c>
      <c r="HB31" s="856"/>
      <c r="HC31" s="856"/>
      <c r="HD31" s="856"/>
      <c r="HE31" s="61"/>
      <c r="HH31" s="61"/>
      <c r="HI31" s="61"/>
      <c r="HJ31" s="61"/>
      <c r="HK31" s="61"/>
      <c r="HL31" s="61"/>
      <c r="HM31" s="61"/>
      <c r="HN31" s="61"/>
      <c r="IB31" s="49"/>
      <c r="IQ31" s="49"/>
      <c r="JJ31" s="716"/>
      <c r="JK31" s="358"/>
      <c r="JL31" s="358"/>
      <c r="JM31" s="716"/>
      <c r="JN31" s="716"/>
    </row>
    <row r="32" spans="3:294" x14ac:dyDescent="0.3">
      <c r="I32" s="49"/>
      <c r="U32" s="49"/>
      <c r="AC32" s="49"/>
      <c r="AJ32" s="49"/>
      <c r="AK32" s="49"/>
      <c r="AL32" s="49"/>
      <c r="AM32" s="49"/>
      <c r="BD32" s="49"/>
      <c r="BE32" s="49"/>
      <c r="BF32" s="49"/>
      <c r="BG32" s="49"/>
      <c r="BH32" s="49"/>
      <c r="BK32" s="49"/>
      <c r="BW32" s="42"/>
      <c r="BX32" s="10"/>
      <c r="BY32" s="10"/>
      <c r="BZ32" s="10"/>
      <c r="CA32" s="10"/>
      <c r="CB32" s="10"/>
      <c r="CC32" s="10"/>
      <c r="CD32" s="10"/>
      <c r="CE32" s="10"/>
      <c r="CH32" s="49"/>
      <c r="CU32" s="49"/>
      <c r="DE32" s="10"/>
      <c r="DG32" s="49"/>
      <c r="DV32" s="49"/>
      <c r="DW32" s="849"/>
      <c r="DX32" s="849"/>
      <c r="DY32" s="849" t="s">
        <v>432</v>
      </c>
      <c r="DZ32" s="849">
        <v>7</v>
      </c>
      <c r="EA32" s="849"/>
      <c r="EB32" s="849">
        <v>4</v>
      </c>
      <c r="EE32" s="49"/>
      <c r="EM32" s="49"/>
      <c r="EN32" s="845"/>
      <c r="EO32" s="845"/>
      <c r="EP32" s="845"/>
      <c r="EQ32" s="845"/>
      <c r="ER32" s="845"/>
      <c r="ES32" s="845"/>
      <c r="ET32" s="845"/>
      <c r="EU32" s="845"/>
      <c r="EV32" s="848"/>
      <c r="EW32" s="845"/>
      <c r="EX32" s="845"/>
      <c r="EY32" s="845"/>
      <c r="FB32" s="49"/>
      <c r="FH32" s="49"/>
      <c r="FI32" s="716"/>
      <c r="FJ32" s="716"/>
      <c r="FK32" s="716"/>
      <c r="FL32" s="716"/>
      <c r="FM32" s="716"/>
      <c r="FN32" s="716"/>
      <c r="FR32" s="716"/>
      <c r="FS32" s="716"/>
      <c r="FT32" s="716"/>
      <c r="FU32" s="716"/>
      <c r="FV32" s="716"/>
      <c r="FW32" s="716"/>
      <c r="FX32" s="716"/>
      <c r="FY32" s="716"/>
      <c r="FZ32" s="716"/>
      <c r="GA32" s="716"/>
      <c r="GB32" s="716"/>
      <c r="GC32" s="716"/>
      <c r="GS32" s="716"/>
      <c r="GV32" s="846"/>
      <c r="GW32" s="846"/>
      <c r="GX32" s="846" t="s">
        <v>433</v>
      </c>
      <c r="GY32" s="856">
        <v>2</v>
      </c>
      <c r="GZ32" s="856">
        <f>GY32+1</f>
        <v>3</v>
      </c>
      <c r="HA32" s="856">
        <f t="shared" ref="HA32:HD32" si="130">GZ32+1</f>
        <v>4</v>
      </c>
      <c r="HB32" s="856">
        <f t="shared" si="130"/>
        <v>5</v>
      </c>
      <c r="HC32" s="856">
        <f t="shared" si="130"/>
        <v>6</v>
      </c>
      <c r="HD32" s="856">
        <f t="shared" si="130"/>
        <v>7</v>
      </c>
      <c r="HU32" s="866"/>
      <c r="HV32" s="866"/>
      <c r="IB32" s="49"/>
      <c r="IQ32" s="49"/>
      <c r="JJ32" s="716"/>
      <c r="JK32" s="891"/>
      <c r="JL32" s="891"/>
      <c r="JM32" s="716"/>
      <c r="JN32" s="716"/>
    </row>
    <row r="33" spans="9:274" x14ac:dyDescent="0.3">
      <c r="I33" s="49"/>
      <c r="U33" s="49"/>
      <c r="AC33" s="49"/>
      <c r="AJ33" s="49"/>
      <c r="AK33" s="49"/>
      <c r="AL33" s="49"/>
      <c r="AM33" s="49"/>
      <c r="BD33" s="49"/>
      <c r="BE33" s="49"/>
      <c r="BF33" s="49"/>
      <c r="BG33" s="49"/>
      <c r="BH33" s="49"/>
      <c r="BK33" s="49"/>
      <c r="BW33" s="42"/>
      <c r="BX33" s="10"/>
      <c r="BY33" s="10"/>
      <c r="BZ33" s="10"/>
      <c r="CA33" s="10"/>
      <c r="CB33" s="10"/>
      <c r="CC33" s="10"/>
      <c r="CD33" s="10"/>
      <c r="CE33" s="10"/>
      <c r="CH33" s="49"/>
      <c r="CU33" s="49"/>
      <c r="DE33" s="10"/>
      <c r="DG33" s="49"/>
      <c r="DV33" s="49"/>
      <c r="EE33" s="49"/>
      <c r="EM33" s="49"/>
      <c r="FB33" s="49"/>
      <c r="FH33" s="49"/>
      <c r="GS33" s="716"/>
      <c r="GW33" s="716"/>
      <c r="GX33" s="716"/>
      <c r="GY33" s="716"/>
      <c r="GZ33" s="716"/>
      <c r="HA33" s="716"/>
      <c r="HB33" s="716"/>
      <c r="HC33" s="716"/>
      <c r="HD33" s="716"/>
      <c r="IB33" s="49"/>
      <c r="IQ33" s="49"/>
      <c r="JJ33" s="716"/>
      <c r="JK33" s="716"/>
      <c r="JL33" s="716"/>
      <c r="JM33" s="716"/>
      <c r="JN33" s="716"/>
    </row>
    <row r="34" spans="9:274" x14ac:dyDescent="0.3">
      <c r="I34" s="49"/>
      <c r="U34" s="49"/>
      <c r="AC34" s="49"/>
      <c r="AJ34" s="49"/>
      <c r="AK34" s="49"/>
      <c r="AL34" s="49"/>
      <c r="AM34" s="49"/>
      <c r="BD34" s="49"/>
      <c r="BE34" s="49"/>
      <c r="BF34" s="49"/>
      <c r="BG34" s="49"/>
      <c r="BH34" s="49"/>
      <c r="BK34" s="49"/>
      <c r="BW34" s="42"/>
      <c r="BX34" s="10"/>
      <c r="BY34" s="10"/>
      <c r="BZ34" s="10"/>
      <c r="CA34" s="10"/>
      <c r="CB34" s="10"/>
      <c r="CC34" s="10"/>
      <c r="CD34" s="10"/>
      <c r="CE34" s="10"/>
      <c r="CH34" s="49"/>
      <c r="CU34" s="49"/>
      <c r="DE34" s="10"/>
      <c r="DG34" s="49"/>
      <c r="DV34" s="49"/>
      <c r="EE34" s="49"/>
      <c r="EM34" s="49"/>
      <c r="EN34" s="716"/>
      <c r="EO34" s="716"/>
      <c r="EP34" s="716"/>
      <c r="EQ34" s="716"/>
      <c r="ER34" s="716"/>
      <c r="ES34" s="716"/>
      <c r="ET34" s="716"/>
      <c r="EU34" s="716"/>
      <c r="EV34" s="716"/>
      <c r="EW34" s="716"/>
      <c r="EX34" s="716"/>
      <c r="EY34" s="716"/>
      <c r="FB34" s="49"/>
      <c r="FH34" s="49"/>
      <c r="GH34" s="716"/>
      <c r="GI34" s="716"/>
      <c r="GJ34" s="716"/>
      <c r="GK34" s="716"/>
      <c r="GL34" s="716"/>
      <c r="GM34" s="716"/>
      <c r="GN34" s="716"/>
      <c r="GO34" s="716"/>
      <c r="GP34" s="716"/>
      <c r="GQ34" s="716"/>
      <c r="GR34" s="716"/>
      <c r="GS34" s="716"/>
      <c r="HE34" s="12"/>
      <c r="HH34" s="12"/>
      <c r="HI34" s="12"/>
      <c r="HJ34" s="12"/>
      <c r="HK34" s="12"/>
      <c r="HL34" s="12"/>
      <c r="HM34" s="12"/>
      <c r="HN34" s="12"/>
      <c r="HV34" s="35"/>
      <c r="IB34" s="49"/>
      <c r="IQ34" s="49"/>
    </row>
    <row r="35" spans="9:274" x14ac:dyDescent="0.3">
      <c r="I35" s="49"/>
      <c r="M35" s="12"/>
      <c r="N35" s="12"/>
      <c r="O35" s="12"/>
      <c r="P35" s="12"/>
      <c r="Q35" s="12"/>
      <c r="R35" s="12"/>
      <c r="U35" s="49"/>
      <c r="AC35" s="49"/>
      <c r="AJ35" s="49"/>
      <c r="AK35" s="49"/>
      <c r="AL35" s="49"/>
      <c r="AM35" s="49"/>
      <c r="BD35" s="49"/>
      <c r="BK35" s="49"/>
      <c r="BW35" s="42"/>
      <c r="BX35" s="10"/>
      <c r="BY35" s="10"/>
      <c r="BZ35" s="10"/>
      <c r="CA35" s="10"/>
      <c r="CB35" s="10"/>
      <c r="CC35" s="10"/>
      <c r="CD35" s="10"/>
      <c r="CE35" s="10"/>
      <c r="CH35" s="49"/>
      <c r="CU35" s="49"/>
      <c r="DE35" s="10"/>
      <c r="EE35" s="49"/>
      <c r="EM35" s="49"/>
      <c r="EN35" s="716"/>
      <c r="EO35" s="716"/>
      <c r="EP35" s="716"/>
      <c r="EQ35" s="716"/>
      <c r="ER35" s="716"/>
      <c r="ES35" s="716"/>
      <c r="ET35" s="716"/>
      <c r="EU35" s="716"/>
      <c r="EV35" s="716"/>
      <c r="EW35" s="716"/>
      <c r="EX35" s="716"/>
      <c r="EY35" s="716"/>
      <c r="FB35" s="49"/>
      <c r="FN35" s="716"/>
      <c r="FR35" s="716"/>
      <c r="FS35" s="716"/>
      <c r="FT35" s="716"/>
      <c r="FU35" s="716"/>
      <c r="FV35" s="716"/>
      <c r="FW35" s="716"/>
      <c r="FX35" s="716"/>
      <c r="FY35" s="716"/>
      <c r="FZ35" s="716"/>
      <c r="GA35" s="716"/>
      <c r="GB35" s="716"/>
      <c r="GC35" s="716"/>
      <c r="GH35" s="716"/>
      <c r="GI35" s="716"/>
      <c r="GJ35" s="716"/>
      <c r="GK35" s="716"/>
      <c r="GL35" s="716"/>
      <c r="GM35" s="716"/>
      <c r="GN35" s="716"/>
      <c r="GO35" s="716"/>
      <c r="GP35" s="716"/>
      <c r="GQ35" s="716"/>
      <c r="GR35" s="716"/>
      <c r="GS35" s="716"/>
      <c r="HE35" s="12"/>
      <c r="HH35" s="12"/>
      <c r="HI35" s="12"/>
      <c r="HJ35" s="12"/>
      <c r="HK35" s="12"/>
      <c r="HL35" s="12"/>
      <c r="HM35" s="12"/>
      <c r="HN35" s="12"/>
      <c r="HV35" s="14"/>
      <c r="IB35" s="49"/>
      <c r="IQ35" s="49"/>
    </row>
    <row r="36" spans="9:274" x14ac:dyDescent="0.3">
      <c r="M36" s="12"/>
      <c r="N36" s="12"/>
      <c r="O36" s="12"/>
      <c r="P36" s="12"/>
      <c r="Q36" s="12"/>
      <c r="R36" s="12"/>
      <c r="AN36" s="87"/>
      <c r="BW36" s="10"/>
      <c r="BX36" s="10"/>
      <c r="BY36" s="10"/>
      <c r="BZ36" s="10"/>
      <c r="CA36" s="10"/>
      <c r="CB36" s="10"/>
      <c r="CC36" s="10"/>
      <c r="CD36" s="10"/>
      <c r="CE36" s="10"/>
      <c r="CH36" s="49"/>
      <c r="DE36" s="10"/>
      <c r="EN36" s="716"/>
      <c r="EO36" s="716"/>
      <c r="EP36" s="716"/>
      <c r="EQ36" s="716"/>
      <c r="ER36" s="716"/>
      <c r="ES36" s="716"/>
      <c r="ET36" s="716"/>
      <c r="EU36" s="716"/>
      <c r="EV36" s="716"/>
      <c r="EW36" s="716"/>
      <c r="EX36" s="716"/>
      <c r="EY36" s="716"/>
      <c r="FR36" s="716"/>
      <c r="FS36" s="716"/>
      <c r="FT36" s="716"/>
      <c r="FU36" s="716"/>
      <c r="FV36" s="716"/>
      <c r="FW36" s="716"/>
      <c r="FX36" s="716"/>
      <c r="FY36" s="716"/>
      <c r="FZ36" s="716"/>
      <c r="GA36" s="716"/>
      <c r="GB36" s="716"/>
      <c r="GC36" s="716"/>
      <c r="GH36" s="716"/>
      <c r="GI36" s="716"/>
      <c r="GJ36" s="716"/>
      <c r="GK36" s="716"/>
      <c r="GL36" s="716"/>
      <c r="GM36" s="716"/>
      <c r="GN36" s="716"/>
      <c r="GO36" s="716"/>
      <c r="GP36" s="716"/>
      <c r="GQ36" s="716"/>
      <c r="GR36" s="716"/>
      <c r="GS36" s="716"/>
      <c r="GW36" s="716"/>
      <c r="GX36" s="716"/>
      <c r="GY36" s="716"/>
      <c r="GZ36" s="716"/>
      <c r="HA36" s="716"/>
      <c r="HB36" s="716"/>
      <c r="HC36" s="716"/>
      <c r="HD36" s="716"/>
    </row>
    <row r="37" spans="9:274" x14ac:dyDescent="0.3">
      <c r="BW37" s="10"/>
      <c r="BX37" s="10"/>
      <c r="BY37" s="10"/>
      <c r="BZ37" s="10"/>
      <c r="CA37" s="10"/>
      <c r="CB37" s="10"/>
      <c r="CC37" s="10"/>
      <c r="CD37" s="10"/>
      <c r="CE37" s="10"/>
      <c r="DE37" s="10"/>
      <c r="GH37" s="716"/>
      <c r="GI37" s="716"/>
      <c r="GJ37" s="716"/>
      <c r="GK37" s="716"/>
      <c r="GL37" s="716"/>
      <c r="GM37" s="716"/>
      <c r="GN37" s="716"/>
      <c r="GO37" s="716"/>
      <c r="GP37" s="716"/>
      <c r="GQ37" s="716"/>
      <c r="GR37" s="716"/>
      <c r="GS37" s="716"/>
      <c r="GW37" s="716"/>
      <c r="GX37" s="716"/>
      <c r="GY37" s="716"/>
      <c r="GZ37" s="716"/>
      <c r="HA37" s="716"/>
      <c r="HB37" s="716"/>
      <c r="HC37" s="716"/>
      <c r="HD37" s="716"/>
    </row>
    <row r="38" spans="9:274" x14ac:dyDescent="0.3">
      <c r="BW38" s="10"/>
      <c r="BX38" s="10"/>
      <c r="BY38" s="10"/>
      <c r="BZ38" s="10"/>
      <c r="CA38" s="10"/>
      <c r="CB38" s="10"/>
      <c r="CC38" s="10"/>
      <c r="CD38" s="10"/>
      <c r="CE38" s="10"/>
      <c r="DE38" s="10"/>
      <c r="GH38" s="716"/>
      <c r="GI38" s="716"/>
      <c r="GJ38" s="716"/>
      <c r="GK38" s="716"/>
      <c r="GL38" s="716"/>
      <c r="GM38" s="716"/>
      <c r="GN38" s="716"/>
      <c r="GO38" s="716"/>
      <c r="GP38" s="716"/>
      <c r="GQ38" s="716"/>
      <c r="GR38" s="716"/>
      <c r="GS38" s="716"/>
      <c r="GW38" s="716"/>
      <c r="GX38" s="716"/>
      <c r="GY38" s="716"/>
      <c r="GZ38" s="716"/>
      <c r="HA38" s="716"/>
      <c r="HB38" s="716"/>
      <c r="HC38" s="716"/>
      <c r="HD38" s="716"/>
    </row>
    <row r="39" spans="9:274" x14ac:dyDescent="0.3">
      <c r="BW39" s="10"/>
      <c r="BX39" s="10"/>
      <c r="BY39" s="10"/>
      <c r="BZ39" s="10"/>
      <c r="CA39" s="10"/>
      <c r="CB39" s="10"/>
      <c r="CC39" s="10"/>
      <c r="CD39" s="10"/>
      <c r="CE39" s="10"/>
      <c r="DE39" s="10"/>
      <c r="GH39" s="716"/>
      <c r="GI39" s="716"/>
      <c r="GJ39" s="716"/>
      <c r="GK39" s="716"/>
      <c r="GL39" s="716"/>
      <c r="GM39" s="716"/>
      <c r="GN39" s="716"/>
      <c r="GO39" s="716"/>
      <c r="GP39" s="716"/>
      <c r="GQ39" s="716"/>
      <c r="GR39" s="716"/>
      <c r="GS39" s="716"/>
      <c r="GW39" s="716"/>
      <c r="GX39" s="716"/>
      <c r="GY39" s="716"/>
    </row>
    <row r="40" spans="9:274" x14ac:dyDescent="0.3">
      <c r="BW40" s="10"/>
      <c r="BX40" s="10"/>
      <c r="BY40" s="10"/>
      <c r="BZ40" s="10"/>
      <c r="CA40" s="10"/>
      <c r="CB40" s="10"/>
      <c r="CC40" s="10"/>
      <c r="CD40" s="10"/>
      <c r="CE40" s="10"/>
      <c r="DE40" s="10"/>
      <c r="HA40" s="860"/>
    </row>
    <row r="41" spans="9:274" x14ac:dyDescent="0.3">
      <c r="BW41" s="10"/>
      <c r="BX41" s="10"/>
      <c r="BY41" s="10"/>
      <c r="BZ41" s="10"/>
      <c r="CA41" s="10"/>
      <c r="CB41" s="10"/>
      <c r="CC41" s="10"/>
      <c r="CD41" s="10"/>
      <c r="CE41" s="10"/>
      <c r="DE41" s="10"/>
      <c r="HA41" s="860"/>
    </row>
    <row r="42" spans="9:274" x14ac:dyDescent="0.3">
      <c r="BW42" s="10"/>
      <c r="BX42" s="10"/>
      <c r="BY42" s="10"/>
      <c r="BZ42" s="10"/>
      <c r="CA42" s="10"/>
      <c r="CB42" s="10"/>
      <c r="CC42" s="10"/>
      <c r="CD42" s="10"/>
      <c r="CE42" s="10"/>
      <c r="DE42" s="10"/>
    </row>
    <row r="43" spans="9:274" x14ac:dyDescent="0.3">
      <c r="BW43" s="10"/>
      <c r="BX43" s="10"/>
      <c r="BY43" s="10"/>
      <c r="BZ43" s="10"/>
      <c r="CA43" s="10"/>
      <c r="CB43" s="10"/>
      <c r="CC43" s="10"/>
      <c r="CD43" s="10"/>
      <c r="CE43" s="10"/>
      <c r="DE43" s="10"/>
    </row>
    <row r="44" spans="9:274" x14ac:dyDescent="0.3">
      <c r="BW44" s="10"/>
      <c r="BX44" s="10"/>
      <c r="BY44" s="10"/>
      <c r="BZ44" s="10"/>
      <c r="CA44" s="10"/>
      <c r="CB44" s="10"/>
      <c r="CC44" s="10"/>
      <c r="CD44" s="10"/>
      <c r="CE44" s="10"/>
      <c r="DE44" s="10"/>
    </row>
    <row r="45" spans="9:274" x14ac:dyDescent="0.3">
      <c r="BW45" s="10"/>
      <c r="BX45" s="10"/>
      <c r="BY45" s="10"/>
      <c r="BZ45" s="10"/>
      <c r="CA45" s="10"/>
      <c r="CB45" s="10"/>
      <c r="CC45" s="10"/>
      <c r="CD45" s="10"/>
      <c r="CE45" s="10"/>
      <c r="DE45" s="10"/>
    </row>
    <row r="46" spans="9:274" x14ac:dyDescent="0.3">
      <c r="BW46" s="10"/>
      <c r="BX46" s="10"/>
      <c r="BY46" s="10"/>
      <c r="BZ46" s="10"/>
      <c r="CA46" s="10"/>
      <c r="CB46" s="10"/>
      <c r="CC46" s="10"/>
      <c r="CD46" s="10"/>
      <c r="CE46" s="10"/>
      <c r="DE46" s="10"/>
    </row>
    <row r="47" spans="9:274" x14ac:dyDescent="0.3">
      <c r="BW47" s="10"/>
      <c r="BX47" s="10"/>
      <c r="BY47" s="10"/>
      <c r="BZ47" s="10"/>
      <c r="CA47" s="10"/>
      <c r="CB47" s="10"/>
      <c r="CC47" s="10"/>
      <c r="CD47" s="10"/>
      <c r="CE47" s="10"/>
      <c r="DE47" s="10"/>
    </row>
    <row r="48" spans="9:274" x14ac:dyDescent="0.3">
      <c r="BW48" s="10"/>
      <c r="BX48" s="10"/>
      <c r="BY48" s="10"/>
      <c r="BZ48" s="10"/>
      <c r="CA48" s="10"/>
      <c r="CB48" s="10"/>
      <c r="CC48" s="10"/>
      <c r="CD48" s="10"/>
      <c r="CE48" s="10"/>
      <c r="DE48" s="10"/>
    </row>
    <row r="49" spans="75:109" x14ac:dyDescent="0.3">
      <c r="BW49" s="10"/>
      <c r="BX49" s="10"/>
      <c r="BY49" s="10"/>
      <c r="BZ49" s="10"/>
      <c r="CA49" s="10"/>
      <c r="CB49" s="10"/>
      <c r="CC49" s="10"/>
      <c r="CD49" s="10"/>
      <c r="CE49" s="10"/>
      <c r="DE49" s="10"/>
    </row>
    <row r="50" spans="75:109" x14ac:dyDescent="0.3">
      <c r="BW50" s="10"/>
      <c r="BX50" s="10"/>
      <c r="BY50" s="10"/>
      <c r="BZ50" s="10"/>
      <c r="CA50" s="10"/>
      <c r="CB50" s="10"/>
      <c r="CC50" s="10"/>
      <c r="CD50" s="10"/>
      <c r="CE50" s="10"/>
      <c r="DE50" s="10"/>
    </row>
  </sheetData>
  <mergeCells count="25">
    <mergeCell ref="JG1:JO1"/>
    <mergeCell ref="GG1:GR1"/>
    <mergeCell ref="GV1:HD1"/>
    <mergeCell ref="HH1:HM1"/>
    <mergeCell ref="HQ1:HY1"/>
    <mergeCell ref="IC1:IL1"/>
    <mergeCell ref="IP1:JC1"/>
    <mergeCell ref="DW1:EB1"/>
    <mergeCell ref="EF1:EJ1"/>
    <mergeCell ref="EN1:EY1"/>
    <mergeCell ref="FC1:FE1"/>
    <mergeCell ref="FI1:FN1"/>
    <mergeCell ref="FR1:GC1"/>
    <mergeCell ref="BE1:BH1"/>
    <mergeCell ref="BL1:BT1"/>
    <mergeCell ref="BX1:CE1"/>
    <mergeCell ref="CI1:CR1"/>
    <mergeCell ref="CV1:DD1"/>
    <mergeCell ref="DH1:DS1"/>
    <mergeCell ref="B1:F1"/>
    <mergeCell ref="J1:R1"/>
    <mergeCell ref="V1:Z1"/>
    <mergeCell ref="AD1:AG1"/>
    <mergeCell ref="AK1:AM1"/>
    <mergeCell ref="AQ1:BA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E63EB-3CBD-4310-BA36-30A007B2380F}">
  <dimension ref="A1:NW54"/>
  <sheetViews>
    <sheetView zoomScale="90" zoomScaleNormal="90" workbookViewId="0">
      <selection activeCell="D16" sqref="D16"/>
    </sheetView>
  </sheetViews>
  <sheetFormatPr defaultRowHeight="16.5" x14ac:dyDescent="0.3"/>
  <cols>
    <col min="1" max="1" width="2.42578125" style="518" customWidth="1"/>
    <col min="2" max="2" width="4.140625" style="518" customWidth="1"/>
    <col min="3" max="4" width="2.42578125" style="518" customWidth="1"/>
    <col min="5" max="5" width="33.140625" style="518" customWidth="1"/>
    <col min="6" max="6" width="19" style="518" customWidth="1"/>
    <col min="7" max="7" width="12.140625" style="518" customWidth="1"/>
    <col min="8" max="8" width="17.85546875" style="518" customWidth="1"/>
    <col min="9" max="9" width="12" style="518" customWidth="1"/>
    <col min="10" max="11" width="17.28515625" style="518" customWidth="1"/>
    <col min="12" max="12" width="11.5703125" style="518" customWidth="1"/>
    <col min="13" max="13" width="16.7109375" style="518" customWidth="1"/>
    <col min="14" max="14" width="17.85546875" style="518" customWidth="1"/>
    <col min="15" max="15" width="12" style="518" customWidth="1"/>
    <col min="16" max="16" width="18.42578125" style="518" customWidth="1"/>
    <col min="17" max="18" width="17.28515625" style="518" customWidth="1"/>
    <col min="19" max="19" width="7" style="518" customWidth="1"/>
    <col min="20" max="20" width="7" style="102" customWidth="1"/>
    <col min="21" max="21" width="7" style="518" customWidth="1"/>
    <col min="22" max="22" width="4.5703125" style="518" customWidth="1"/>
    <col min="23" max="23" width="61.85546875" style="518" customWidth="1"/>
    <col min="24" max="27" width="14.85546875" style="518" customWidth="1"/>
    <col min="28" max="28" width="3" style="518" customWidth="1"/>
    <col min="29" max="29" width="5.85546875" style="518" customWidth="1"/>
    <col min="30" max="30" width="7" style="102" customWidth="1"/>
    <col min="31" max="31" width="6.28515625" style="518" customWidth="1"/>
    <col min="32" max="32" width="4.5703125" style="518" customWidth="1"/>
    <col min="33" max="33" width="27" style="518" customWidth="1"/>
    <col min="34" max="36" width="20.140625" style="518" customWidth="1"/>
    <col min="37" max="37" width="7" style="518" customWidth="1"/>
    <col min="38" max="38" width="4" style="102" customWidth="1"/>
    <col min="39" max="39" width="2.42578125" style="518" customWidth="1"/>
    <col min="40" max="40" width="4.140625" style="518" customWidth="1"/>
    <col min="41" max="42" width="2.42578125" style="518" customWidth="1"/>
    <col min="43" max="43" width="32.7109375" style="518" customWidth="1"/>
    <col min="44" max="44" width="7.5703125" style="518" customWidth="1"/>
    <col min="45" max="45" width="16.5703125" style="518" hidden="1" customWidth="1"/>
    <col min="46" max="46" width="17.140625" style="518" hidden="1" customWidth="1"/>
    <col min="47" max="47" width="2.42578125" style="518" hidden="1" customWidth="1"/>
    <col min="48" max="48" width="15.42578125" style="518" hidden="1" customWidth="1"/>
    <col min="49" max="49" width="16.7109375" style="518" hidden="1" customWidth="1"/>
    <col min="50" max="50" width="12.140625" style="518" hidden="1" customWidth="1"/>
    <col min="51" max="51" width="1.85546875" style="518" hidden="1" customWidth="1"/>
    <col min="52" max="52" width="15.42578125" style="518" hidden="1" customWidth="1"/>
    <col min="53" max="53" width="16.7109375" style="518" hidden="1" customWidth="1"/>
    <col min="54" max="54" width="12.140625" style="518" hidden="1" customWidth="1"/>
    <col min="55" max="55" width="2.42578125" style="518" hidden="1" customWidth="1"/>
    <col min="56" max="56" width="15.42578125" style="518" hidden="1" customWidth="1"/>
    <col min="57" max="57" width="16.7109375" style="518" hidden="1" customWidth="1"/>
    <col min="58" max="58" width="12.140625" style="518" hidden="1" customWidth="1"/>
    <col min="59" max="59" width="2.42578125" style="518" hidden="1" customWidth="1"/>
    <col min="60" max="60" width="15.42578125" style="518" hidden="1" customWidth="1"/>
    <col min="61" max="61" width="16.7109375" style="518" hidden="1" customWidth="1"/>
    <col min="62" max="62" width="12.140625" style="518" hidden="1" customWidth="1"/>
    <col min="63" max="63" width="1.85546875" style="518" hidden="1" customWidth="1"/>
    <col min="64" max="64" width="15.42578125" style="518" hidden="1" customWidth="1"/>
    <col min="65" max="65" width="16.7109375" style="518" hidden="1" customWidth="1"/>
    <col min="66" max="66" width="12.140625" style="518" hidden="1" customWidth="1"/>
    <col min="67" max="67" width="1.85546875" style="518" hidden="1" customWidth="1"/>
    <col min="68" max="68" width="15.42578125" style="518" hidden="1" customWidth="1"/>
    <col min="69" max="69" width="16.7109375" style="518" hidden="1" customWidth="1"/>
    <col min="70" max="70" width="12.140625" style="518" hidden="1" customWidth="1"/>
    <col min="71" max="71" width="1.85546875" style="518" hidden="1" customWidth="1"/>
    <col min="72" max="72" width="18.42578125" style="518" hidden="1" customWidth="1"/>
    <col min="73" max="77" width="16.5703125" style="518" hidden="1" customWidth="1"/>
    <col min="78" max="79" width="16.5703125" style="518" customWidth="1"/>
    <col min="80" max="80" width="16.5703125" style="518" hidden="1" customWidth="1"/>
    <col min="81" max="81" width="18.42578125" style="518" customWidth="1"/>
    <col min="82" max="85" width="16.5703125" style="518" customWidth="1"/>
    <col min="86" max="86" width="2.85546875" style="518" customWidth="1"/>
    <col min="87" max="87" width="3" style="102" customWidth="1"/>
    <col min="88" max="88" width="3" style="518" customWidth="1"/>
    <col min="89" max="89" width="4.7109375" style="518" customWidth="1"/>
    <col min="90" max="90" width="17.140625" style="518" customWidth="1"/>
    <col min="91" max="91" width="15.5703125" style="518" customWidth="1"/>
    <col min="92" max="92" width="17.140625" style="518" bestFit="1" customWidth="1"/>
    <col min="93" max="93" width="15.5703125" style="518" customWidth="1"/>
    <col min="94" max="94" width="17.5703125" style="518" bestFit="1" customWidth="1"/>
    <col min="95" max="95" width="15.5703125" style="518" customWidth="1"/>
    <col min="96" max="96" width="17.5703125" style="518" customWidth="1"/>
    <col min="97" max="97" width="15.5703125" style="518" customWidth="1"/>
    <col min="98" max="98" width="17.5703125" style="518" bestFit="1" customWidth="1"/>
    <col min="99" max="99" width="3" style="518" customWidth="1"/>
    <col min="100" max="100" width="3" style="102" customWidth="1"/>
    <col min="101" max="101" width="3" style="518" customWidth="1"/>
    <col min="102" max="102" width="5.28515625" style="518" customWidth="1"/>
    <col min="103" max="103" width="17.140625" style="518" customWidth="1"/>
    <col min="104" max="104" width="16.5703125" style="518" customWidth="1"/>
    <col min="105" max="105" width="16.5703125" style="103" customWidth="1"/>
    <col min="106" max="107" width="16.5703125" style="518" customWidth="1"/>
    <col min="108" max="108" width="20.140625" style="518" customWidth="1"/>
    <col min="109" max="109" width="3" style="518" customWidth="1"/>
    <col min="110" max="110" width="3" style="102" customWidth="1"/>
    <col min="111" max="111" width="3" style="518" customWidth="1"/>
    <col min="112" max="112" width="5.28515625" style="518" customWidth="1"/>
    <col min="113" max="113" width="15.5703125" style="518" customWidth="1"/>
    <col min="114" max="114" width="17.85546875" style="518" customWidth="1"/>
    <col min="115" max="115" width="17.85546875" style="103" customWidth="1"/>
    <col min="116" max="117" width="17.85546875" style="518" customWidth="1"/>
    <col min="118" max="118" width="3" style="518" customWidth="1"/>
    <col min="119" max="119" width="3" style="102" customWidth="1"/>
    <col min="120" max="120" width="2.42578125" style="518" customWidth="1"/>
    <col min="121" max="121" width="5.28515625" style="518" customWidth="1"/>
    <col min="122" max="122" width="34.85546875" style="104" customWidth="1"/>
    <col min="123" max="123" width="15.5703125" style="96" customWidth="1"/>
    <col min="124" max="124" width="16.5703125" style="96" customWidth="1"/>
    <col min="125" max="125" width="16.7109375" style="96" bestFit="1" customWidth="1"/>
    <col min="126" max="126" width="17.140625" style="96" bestFit="1" customWidth="1"/>
    <col min="127" max="128" width="15.5703125" style="518" customWidth="1"/>
    <col min="129" max="130" width="17.140625" style="518" bestFit="1" customWidth="1"/>
    <col min="131" max="131" width="3" style="518" customWidth="1"/>
    <col min="132" max="132" width="3" style="102" customWidth="1"/>
    <col min="133" max="133" width="3" style="518" customWidth="1"/>
    <col min="134" max="134" width="5.28515625" style="518" customWidth="1"/>
    <col min="135" max="135" width="17.28515625" style="518" customWidth="1"/>
    <col min="136" max="143" width="15.5703125" style="518" customWidth="1"/>
    <col min="144" max="144" width="3" style="518" customWidth="1"/>
    <col min="145" max="145" width="3" style="102" customWidth="1"/>
    <col min="146" max="146" width="3" style="518" customWidth="1"/>
    <col min="147" max="147" width="4.5703125" style="518" customWidth="1"/>
    <col min="148" max="148" width="16.5703125" style="518" customWidth="1"/>
    <col min="149" max="150" width="15.5703125" style="518" bestFit="1" customWidth="1"/>
    <col min="151" max="151" width="14.7109375" style="518" bestFit="1" customWidth="1"/>
    <col min="152" max="152" width="15.5703125" style="518" bestFit="1" customWidth="1"/>
    <col min="153" max="153" width="14.42578125" style="518" customWidth="1"/>
    <col min="154" max="155" width="15.5703125" style="518" bestFit="1" customWidth="1"/>
    <col min="156" max="156" width="15.85546875" style="518" bestFit="1" customWidth="1"/>
    <col min="157" max="157" width="16.7109375" style="518" customWidth="1"/>
    <col min="158" max="158" width="22" style="518" customWidth="1"/>
    <col min="159" max="159" width="16.7109375" style="518" customWidth="1"/>
    <col min="160" max="160" width="3" style="518" customWidth="1"/>
    <col min="161" max="161" width="3" style="102" customWidth="1"/>
    <col min="162" max="162" width="3" style="518" customWidth="1"/>
    <col min="163" max="163" width="5.28515625" style="518" customWidth="1"/>
    <col min="164" max="164" width="1.28515625" style="518" customWidth="1"/>
    <col min="165" max="165" width="38.28515625" style="518" customWidth="1"/>
    <col min="166" max="167" width="15.5703125" style="518" bestFit="1" customWidth="1"/>
    <col min="168" max="168" width="15.85546875" style="518" bestFit="1" customWidth="1"/>
    <col min="169" max="169" width="17.140625" style="518" bestFit="1" customWidth="1"/>
    <col min="170" max="170" width="15" style="518" bestFit="1" customWidth="1"/>
    <col min="171" max="172" width="15.85546875" style="518" bestFit="1" customWidth="1"/>
    <col min="173" max="173" width="15.5703125" style="518" bestFit="1" customWidth="1"/>
    <col min="174" max="174" width="21.28515625" style="518" customWidth="1"/>
    <col min="175" max="175" width="3" style="518" customWidth="1"/>
    <col min="176" max="176" width="3" style="102" customWidth="1"/>
    <col min="177" max="177" width="3" style="518" customWidth="1"/>
    <col min="178" max="178" width="10.42578125" style="518" customWidth="1"/>
    <col min="179" max="179" width="34.28515625" style="518" bestFit="1" customWidth="1"/>
    <col min="180" max="180" width="13.28515625" style="518" bestFit="1" customWidth="1"/>
    <col min="181" max="181" width="13.5703125" style="518" bestFit="1" customWidth="1"/>
    <col min="182" max="183" width="15.5703125" style="518" bestFit="1" customWidth="1"/>
    <col min="184" max="184" width="11" style="518" bestFit="1" customWidth="1"/>
    <col min="185" max="185" width="13.140625" style="518" bestFit="1" customWidth="1"/>
    <col min="186" max="186" width="13.85546875" style="518" bestFit="1" customWidth="1"/>
    <col min="187" max="187" width="14.28515625" style="518" bestFit="1" customWidth="1"/>
    <col min="188" max="188" width="3" style="518" customWidth="1"/>
    <col min="189" max="189" width="3" style="102" customWidth="1"/>
    <col min="190" max="190" width="3" style="518" customWidth="1"/>
    <col min="191" max="191" width="10.42578125" style="518" customWidth="1"/>
    <col min="192" max="192" width="34.28515625" style="518" bestFit="1" customWidth="1"/>
    <col min="193" max="200" width="12.7109375" style="518" customWidth="1"/>
    <col min="201" max="201" width="3" style="518" customWidth="1"/>
    <col min="202" max="202" width="3" style="102" customWidth="1"/>
    <col min="203" max="203" width="3" style="518" customWidth="1"/>
    <col min="204" max="204" width="10.42578125" style="518" customWidth="1"/>
    <col min="205" max="205" width="27.5703125" style="518" customWidth="1"/>
    <col min="206" max="206" width="13.5703125" style="518" bestFit="1" customWidth="1"/>
    <col min="207" max="207" width="13.28515625" style="518" bestFit="1" customWidth="1"/>
    <col min="208" max="208" width="15" style="518" bestFit="1" customWidth="1"/>
    <col min="209" max="209" width="15.85546875" style="518" bestFit="1" customWidth="1"/>
    <col min="210" max="210" width="11.5703125" style="518" bestFit="1" customWidth="1"/>
    <col min="211" max="211" width="11" style="518" bestFit="1" customWidth="1"/>
    <col min="212" max="212" width="12.7109375" style="518" bestFit="1" customWidth="1"/>
    <col min="213" max="213" width="13.28515625" style="518" bestFit="1" customWidth="1"/>
    <col min="214" max="214" width="3" style="518" customWidth="1"/>
    <col min="215" max="215" width="3" style="102" customWidth="1"/>
    <col min="216" max="216" width="3" style="518" customWidth="1"/>
    <col min="217" max="217" width="5.28515625" style="518" customWidth="1"/>
    <col min="218" max="218" width="16.7109375" style="518" customWidth="1"/>
    <col min="219" max="221" width="17.28515625" style="518" customWidth="1"/>
    <col min="222" max="222" width="19.28515625" style="518" bestFit="1" customWidth="1"/>
    <col min="223" max="226" width="17.28515625" style="518" customWidth="1"/>
    <col min="227" max="227" width="3" style="518" customWidth="1"/>
    <col min="228" max="228" width="3" style="102" customWidth="1"/>
    <col min="229" max="229" width="3" style="518" customWidth="1"/>
    <col min="230" max="230" width="2.85546875" style="518" customWidth="1"/>
    <col min="231" max="231" width="5.7109375" style="518" customWidth="1"/>
    <col min="232" max="232" width="9.28515625" style="518" bestFit="1" customWidth="1"/>
    <col min="233" max="233" width="15.7109375" style="518" bestFit="1" customWidth="1"/>
    <col min="234" max="234" width="15.140625" style="518" bestFit="1" customWidth="1"/>
    <col min="235" max="235" width="24.85546875" style="518" bestFit="1" customWidth="1"/>
    <col min="236" max="236" width="26" style="518" bestFit="1" customWidth="1"/>
    <col min="237" max="237" width="8.5703125" style="518" bestFit="1" customWidth="1"/>
    <col min="238" max="238" width="10" style="518" bestFit="1" customWidth="1"/>
    <col min="239" max="241" width="10.28515625" style="518" bestFit="1" customWidth="1"/>
    <col min="242" max="242" width="4.140625" style="518" customWidth="1"/>
    <col min="243" max="243" width="4.140625" style="102" customWidth="1"/>
    <col min="244" max="244" width="4.140625" style="518" customWidth="1"/>
    <col min="245" max="245" width="5.28515625" style="518" customWidth="1"/>
    <col min="246" max="246" width="11.42578125" style="518" customWidth="1"/>
    <col min="247" max="247" width="11.85546875" style="518" customWidth="1"/>
    <col min="248" max="248" width="19.28515625" style="518" customWidth="1"/>
    <col min="249" max="249" width="15.140625" style="518" bestFit="1" customWidth="1"/>
    <col min="250" max="250" width="18.7109375" style="518" bestFit="1" customWidth="1"/>
    <col min="251" max="251" width="19" style="518" bestFit="1" customWidth="1"/>
    <col min="252" max="252" width="17.5703125" style="518" bestFit="1" customWidth="1"/>
    <col min="253" max="253" width="16.7109375" style="518" bestFit="1" customWidth="1"/>
    <col min="254" max="255" width="15.5703125" style="518" customWidth="1"/>
    <col min="256" max="256" width="16.28515625" style="518" bestFit="1" customWidth="1"/>
    <col min="257" max="257" width="15.42578125" style="518" bestFit="1" customWidth="1"/>
    <col min="258" max="258" width="4.140625" style="518" customWidth="1"/>
    <col min="259" max="259" width="4.140625" style="102" customWidth="1"/>
    <col min="260" max="260" width="4.140625" style="518" customWidth="1"/>
    <col min="261" max="261" width="5.28515625" style="518" customWidth="1"/>
    <col min="262" max="262" width="16.140625" style="518" customWidth="1"/>
    <col min="263" max="263" width="8.5703125" style="518" customWidth="1"/>
    <col min="264" max="264" width="10.28515625" style="518" customWidth="1"/>
    <col min="265" max="266" width="17.5703125" style="518" bestFit="1" customWidth="1"/>
    <col min="267" max="267" width="15.5703125" style="518" bestFit="1" customWidth="1"/>
    <col min="268" max="268" width="15.5703125" style="107" bestFit="1" customWidth="1"/>
    <col min="269" max="269" width="17.140625" style="518" bestFit="1" customWidth="1"/>
    <col min="270" max="270" width="16.140625" style="107" bestFit="1" customWidth="1"/>
    <col min="271" max="271" width="17.140625" style="518" bestFit="1" customWidth="1"/>
    <col min="272" max="272" width="16.7109375" style="518" bestFit="1" customWidth="1"/>
    <col min="273" max="273" width="15.85546875" style="518" bestFit="1" customWidth="1"/>
    <col min="274" max="274" width="15" style="518" bestFit="1" customWidth="1"/>
    <col min="275" max="276" width="15.5703125" style="518" bestFit="1" customWidth="1"/>
    <col min="277" max="278" width="15.85546875" style="518" bestFit="1" customWidth="1"/>
    <col min="279" max="279" width="15.5703125" style="518" bestFit="1" customWidth="1"/>
    <col min="280" max="280" width="17.140625" style="518" bestFit="1" customWidth="1"/>
    <col min="281" max="281" width="23" style="518" customWidth="1"/>
    <col min="282" max="282" width="27" style="518" customWidth="1"/>
    <col min="283" max="283" width="20.7109375" style="518" bestFit="1" customWidth="1"/>
    <col min="284" max="284" width="3.42578125" style="518" customWidth="1"/>
    <col min="285" max="285" width="3.42578125" style="102" customWidth="1"/>
    <col min="286" max="286" width="2.42578125" style="518" customWidth="1"/>
    <col min="287" max="287" width="6.42578125" style="518" customWidth="1"/>
    <col min="288" max="288" width="9.85546875" style="518" customWidth="1"/>
    <col min="289" max="289" width="8.85546875" style="518" bestFit="1" customWidth="1"/>
    <col min="290" max="290" width="9.85546875" style="518" customWidth="1"/>
    <col min="291" max="292" width="16.7109375" style="518" customWidth="1"/>
    <col min="293" max="293" width="8.7109375" style="518" customWidth="1"/>
    <col min="294" max="294" width="9.85546875" style="518" customWidth="1"/>
    <col min="295" max="295" width="8.85546875" style="518" bestFit="1" customWidth="1"/>
    <col min="296" max="296" width="10.42578125" style="518" customWidth="1"/>
    <col min="297" max="297" width="4.140625" style="518" customWidth="1"/>
    <col min="298" max="298" width="4.140625" style="102" customWidth="1"/>
    <col min="299" max="299" width="4.140625" style="518" customWidth="1"/>
    <col min="300" max="300" width="5.140625" style="518" customWidth="1"/>
    <col min="301" max="301" width="12.5703125" style="518" customWidth="1"/>
    <col min="302" max="302" width="12.140625" style="518" customWidth="1"/>
    <col min="303" max="305" width="13.140625" style="518" customWidth="1"/>
    <col min="306" max="307" width="19" style="518" bestFit="1" customWidth="1"/>
    <col min="308" max="308" width="16.7109375" style="518" bestFit="1" customWidth="1"/>
    <col min="309" max="309" width="18.140625" style="518" bestFit="1" customWidth="1"/>
    <col min="310" max="311" width="15.85546875" style="518" bestFit="1" customWidth="1"/>
    <col min="312" max="312" width="17.5703125" style="518" bestFit="1" customWidth="1"/>
    <col min="313" max="313" width="18.7109375" style="518" bestFit="1" customWidth="1"/>
    <col min="314" max="314" width="4.140625" style="518" customWidth="1"/>
    <col min="315" max="315" width="4.140625" style="102" customWidth="1"/>
    <col min="316" max="316" width="4.140625" style="518" customWidth="1"/>
    <col min="317" max="317" width="5.140625" style="518" customWidth="1"/>
    <col min="318" max="318" width="21.5703125" style="518" customWidth="1"/>
    <col min="319" max="319" width="11.5703125" style="518" customWidth="1"/>
    <col min="320" max="320" width="17.5703125" style="518" customWidth="1"/>
    <col min="321" max="321" width="16.7109375" style="518" bestFit="1" customWidth="1"/>
    <col min="322" max="322" width="17.5703125" style="518" bestFit="1" customWidth="1"/>
    <col min="323" max="323" width="15" style="518" customWidth="1"/>
    <col min="324" max="324" width="15" style="107" customWidth="1"/>
    <col min="325" max="325" width="15" style="518" customWidth="1"/>
    <col min="326" max="326" width="17.140625" style="107" bestFit="1" customWidth="1"/>
    <col min="327" max="327" width="15" style="107" customWidth="1"/>
    <col min="328" max="328" width="17.28515625" style="518" bestFit="1" customWidth="1"/>
    <col min="329" max="329" width="15" style="518" customWidth="1"/>
    <col min="330" max="330" width="15.85546875" style="518" bestFit="1" customWidth="1"/>
    <col min="331" max="334" width="15" style="518" customWidth="1"/>
    <col min="335" max="335" width="16.140625" style="518" bestFit="1" customWidth="1"/>
    <col min="336" max="336" width="17.140625" style="518" bestFit="1" customWidth="1"/>
    <col min="337" max="337" width="17.85546875" style="518" customWidth="1"/>
    <col min="338" max="338" width="17.5703125" style="518" bestFit="1" customWidth="1"/>
    <col min="339" max="339" width="7" style="518" customWidth="1"/>
    <col min="340" max="340" width="2.42578125" style="102" customWidth="1"/>
    <col min="341" max="342" width="6.85546875" style="518" customWidth="1"/>
    <col min="343" max="343" width="9.85546875" style="518" customWidth="1"/>
    <col min="344" max="344" width="18.85546875" style="518" customWidth="1"/>
    <col min="345" max="345" width="18.42578125" style="518" customWidth="1"/>
    <col min="346" max="346" width="18.7109375" style="518" bestFit="1" customWidth="1"/>
    <col min="347" max="347" width="17.5703125" style="518" bestFit="1" customWidth="1"/>
    <col min="348" max="348" width="17.140625" style="518" bestFit="1" customWidth="1"/>
    <col min="349" max="349" width="17.5703125" style="518" bestFit="1" customWidth="1"/>
    <col min="350" max="351" width="15.85546875" style="518" bestFit="1" customWidth="1"/>
    <col min="352" max="352" width="17.5703125" style="518" bestFit="1" customWidth="1"/>
    <col min="353" max="353" width="9.140625" style="518"/>
    <col min="354" max="354" width="2.85546875" style="102" customWidth="1"/>
    <col min="355" max="355" width="2.85546875" style="518" customWidth="1"/>
    <col min="356" max="356" width="16.5703125" style="518" customWidth="1"/>
    <col min="357" max="357" width="33.85546875" style="518" bestFit="1" customWidth="1"/>
    <col min="358" max="358" width="16.5703125" style="518" customWidth="1"/>
    <col min="359" max="359" width="2.85546875" style="518" customWidth="1"/>
    <col min="360" max="360" width="2.85546875" style="102" customWidth="1"/>
    <col min="361" max="361" width="2.85546875" style="518" customWidth="1"/>
    <col min="362" max="362" width="4.140625" style="96" customWidth="1"/>
    <col min="363" max="363" width="61.140625" style="96" customWidth="1"/>
    <col min="364" max="364" width="18.42578125" style="518" bestFit="1" customWidth="1"/>
    <col min="365" max="365" width="20.5703125" style="518" customWidth="1"/>
    <col min="366" max="366" width="17.28515625" style="518" hidden="1" customWidth="1"/>
    <col min="367" max="367" width="21.85546875" style="518" bestFit="1" customWidth="1"/>
    <col min="368" max="368" width="21.7109375" style="518" customWidth="1"/>
    <col min="369" max="369" width="4.140625" style="518" customWidth="1"/>
    <col min="370" max="370" width="2.85546875" style="102" customWidth="1"/>
    <col min="371" max="371" width="2.85546875" style="518" customWidth="1"/>
    <col min="372" max="372" width="4.7109375" style="518" bestFit="1" customWidth="1"/>
    <col min="373" max="373" width="60.7109375" style="107" bestFit="1" customWidth="1"/>
    <col min="374" max="374" width="26.140625" style="518" customWidth="1"/>
    <col min="375" max="375" width="26.85546875" style="518" bestFit="1" customWidth="1"/>
    <col min="376" max="376" width="18.42578125" style="518" bestFit="1" customWidth="1"/>
    <col min="377" max="377" width="14.28515625" style="518" customWidth="1"/>
    <col min="378" max="378" width="4.140625" style="518" customWidth="1"/>
    <col min="379" max="379" width="2.85546875" style="102" customWidth="1"/>
    <col min="380" max="380" width="2.85546875" style="518" customWidth="1"/>
    <col min="381" max="381" width="13.85546875" style="97" bestFit="1" customWidth="1"/>
    <col min="382" max="382" width="14.28515625" style="97" bestFit="1" customWidth="1"/>
    <col min="383" max="383" width="13" style="97" bestFit="1" customWidth="1"/>
    <col min="384" max="387" width="9.140625" style="97"/>
  </cols>
  <sheetData>
    <row r="1" spans="2:387" x14ac:dyDescent="0.3">
      <c r="B1" s="981" t="s">
        <v>0</v>
      </c>
      <c r="C1" s="981"/>
      <c r="D1" s="981"/>
      <c r="E1" s="981"/>
      <c r="F1" s="981"/>
      <c r="G1" s="981"/>
      <c r="H1" s="981"/>
      <c r="I1" s="981"/>
      <c r="J1" s="981"/>
      <c r="K1" s="981"/>
      <c r="L1" s="981"/>
      <c r="M1" s="981"/>
      <c r="N1" s="981"/>
      <c r="O1" s="981"/>
      <c r="P1" s="981"/>
      <c r="Q1" s="981"/>
      <c r="R1" s="981"/>
      <c r="S1" s="91"/>
      <c r="T1" s="92"/>
      <c r="U1" s="91"/>
      <c r="V1" s="91"/>
      <c r="W1" s="981" t="s">
        <v>1</v>
      </c>
      <c r="X1" s="981"/>
      <c r="Y1" s="981"/>
      <c r="Z1" s="981"/>
      <c r="AA1" s="981"/>
      <c r="AB1" s="492"/>
      <c r="AC1" s="492"/>
      <c r="AE1" s="492"/>
      <c r="AF1" s="981" t="s">
        <v>2</v>
      </c>
      <c r="AG1" s="981"/>
      <c r="AH1" s="981"/>
      <c r="AI1" s="981"/>
      <c r="AJ1" s="981"/>
      <c r="AK1" s="91"/>
      <c r="AL1" s="94"/>
      <c r="AM1" s="91"/>
      <c r="AN1" s="981" t="s">
        <v>3</v>
      </c>
      <c r="AO1" s="981"/>
      <c r="AP1" s="981"/>
      <c r="AQ1" s="981"/>
      <c r="AR1" s="981"/>
      <c r="AS1" s="981"/>
      <c r="AT1" s="981"/>
      <c r="AU1" s="981"/>
      <c r="AV1" s="981"/>
      <c r="AW1" s="981"/>
      <c r="AX1" s="981"/>
      <c r="AY1" s="981"/>
      <c r="AZ1" s="981"/>
      <c r="BA1" s="981"/>
      <c r="BB1" s="981"/>
      <c r="BC1" s="981"/>
      <c r="BD1" s="981"/>
      <c r="BE1" s="981"/>
      <c r="BF1" s="981"/>
      <c r="BG1" s="981"/>
      <c r="BH1" s="981"/>
      <c r="BI1" s="981"/>
      <c r="BJ1" s="981"/>
      <c r="BK1" s="981"/>
      <c r="BL1" s="981"/>
      <c r="BM1" s="981"/>
      <c r="BN1" s="981"/>
      <c r="BO1" s="981"/>
      <c r="BP1" s="981"/>
      <c r="BQ1" s="981"/>
      <c r="BR1" s="981"/>
      <c r="BS1" s="981"/>
      <c r="BT1" s="981"/>
      <c r="BU1" s="981"/>
      <c r="BV1" s="981"/>
      <c r="BW1" s="981"/>
      <c r="BX1" s="981"/>
      <c r="BY1" s="981"/>
      <c r="BZ1" s="981"/>
      <c r="CA1" s="981"/>
      <c r="CB1" s="981"/>
      <c r="CC1" s="981"/>
      <c r="CD1" s="981"/>
      <c r="CE1" s="981"/>
      <c r="CF1" s="981"/>
      <c r="CG1" s="981"/>
      <c r="CH1" s="91"/>
      <c r="CI1" s="92"/>
      <c r="CJ1" s="981" t="s">
        <v>4</v>
      </c>
      <c r="CK1" s="981"/>
      <c r="CL1" s="981"/>
      <c r="CM1" s="981"/>
      <c r="CN1" s="981"/>
      <c r="CO1" s="981"/>
      <c r="CP1" s="981"/>
      <c r="CQ1" s="981"/>
      <c r="CR1" s="981"/>
      <c r="CS1" s="981"/>
      <c r="CT1" s="981"/>
      <c r="CU1" s="981"/>
      <c r="CV1" s="95"/>
      <c r="CW1" s="981" t="s">
        <v>5</v>
      </c>
      <c r="CX1" s="981"/>
      <c r="CY1" s="981"/>
      <c r="CZ1" s="981"/>
      <c r="DA1" s="981"/>
      <c r="DB1" s="981"/>
      <c r="DC1" s="981"/>
      <c r="DD1" s="981"/>
      <c r="DE1" s="981"/>
      <c r="DF1" s="95"/>
      <c r="DG1" s="981" t="s">
        <v>6</v>
      </c>
      <c r="DH1" s="981"/>
      <c r="DI1" s="981"/>
      <c r="DJ1" s="981"/>
      <c r="DK1" s="981"/>
      <c r="DL1" s="981"/>
      <c r="DM1" s="981"/>
      <c r="DN1" s="981"/>
      <c r="DO1" s="94"/>
      <c r="DP1" s="981" t="s">
        <v>7</v>
      </c>
      <c r="DQ1" s="981"/>
      <c r="DR1" s="981"/>
      <c r="DS1" s="981"/>
      <c r="DT1" s="981"/>
      <c r="DU1" s="981"/>
      <c r="DV1" s="981"/>
      <c r="DW1" s="981"/>
      <c r="DX1" s="981"/>
      <c r="DY1" s="981"/>
      <c r="DZ1" s="981"/>
      <c r="EA1" s="981"/>
      <c r="EB1" s="95"/>
      <c r="ED1" s="969" t="s">
        <v>8</v>
      </c>
      <c r="EE1" s="969"/>
      <c r="EF1" s="969"/>
      <c r="EG1" s="969"/>
      <c r="EH1" s="969"/>
      <c r="EI1" s="969"/>
      <c r="EJ1" s="969"/>
      <c r="EK1" s="969"/>
      <c r="EL1" s="969"/>
      <c r="EM1" s="969"/>
      <c r="EN1" s="91"/>
      <c r="EO1" s="95"/>
      <c r="EP1" s="91"/>
      <c r="EQ1" s="969" t="s">
        <v>9</v>
      </c>
      <c r="ER1" s="969"/>
      <c r="ES1" s="969"/>
      <c r="ET1" s="969"/>
      <c r="EU1" s="969"/>
      <c r="EV1" s="969"/>
      <c r="EW1" s="969"/>
      <c r="EX1" s="969"/>
      <c r="EY1" s="969"/>
      <c r="EZ1" s="969"/>
      <c r="FA1" s="969"/>
      <c r="FB1" s="969"/>
      <c r="FC1" s="969"/>
      <c r="FD1" s="91"/>
      <c r="FE1" s="95"/>
      <c r="FF1" s="91"/>
      <c r="FG1" s="969" t="s">
        <v>10</v>
      </c>
      <c r="FH1" s="969"/>
      <c r="FI1" s="969"/>
      <c r="FJ1" s="969"/>
      <c r="FK1" s="969"/>
      <c r="FL1" s="969"/>
      <c r="FM1" s="969"/>
      <c r="FN1" s="969"/>
      <c r="FO1" s="969"/>
      <c r="FP1" s="969"/>
      <c r="FQ1" s="969"/>
      <c r="FR1" s="969"/>
      <c r="FS1" s="91"/>
      <c r="FT1" s="95"/>
      <c r="FU1" s="969" t="s">
        <v>11</v>
      </c>
      <c r="FV1" s="969"/>
      <c r="FW1" s="969"/>
      <c r="FX1" s="969"/>
      <c r="FY1" s="969"/>
      <c r="FZ1" s="969"/>
      <c r="GA1" s="969"/>
      <c r="GB1" s="969"/>
      <c r="GC1" s="969"/>
      <c r="GD1" s="969"/>
      <c r="GE1" s="969"/>
      <c r="GF1" s="969"/>
      <c r="GG1" s="92"/>
      <c r="GH1" s="969" t="s">
        <v>12</v>
      </c>
      <c r="GI1" s="969"/>
      <c r="GJ1" s="969"/>
      <c r="GK1" s="969"/>
      <c r="GL1" s="969"/>
      <c r="GM1" s="969"/>
      <c r="GN1" s="969"/>
      <c r="GO1" s="969"/>
      <c r="GP1" s="969"/>
      <c r="GQ1" s="969"/>
      <c r="GR1" s="969"/>
      <c r="GS1" s="969"/>
      <c r="GT1" s="92"/>
      <c r="GU1" s="969" t="s">
        <v>13</v>
      </c>
      <c r="GV1" s="969"/>
      <c r="GW1" s="969"/>
      <c r="GX1" s="969"/>
      <c r="GY1" s="969"/>
      <c r="GZ1" s="969"/>
      <c r="HA1" s="969"/>
      <c r="HB1" s="969"/>
      <c r="HC1" s="969"/>
      <c r="HD1" s="969"/>
      <c r="HE1" s="969"/>
      <c r="HF1" s="969"/>
      <c r="HG1" s="92"/>
      <c r="HH1" s="969" t="s">
        <v>14</v>
      </c>
      <c r="HI1" s="969"/>
      <c r="HJ1" s="969"/>
      <c r="HK1" s="969"/>
      <c r="HL1" s="969"/>
      <c r="HM1" s="969"/>
      <c r="HN1" s="969"/>
      <c r="HO1" s="969"/>
      <c r="HP1" s="969"/>
      <c r="HQ1" s="969"/>
      <c r="HR1" s="969"/>
      <c r="HS1" s="969"/>
      <c r="HT1" s="95"/>
      <c r="HV1" s="993" t="s">
        <v>15</v>
      </c>
      <c r="HW1" s="993"/>
      <c r="HX1" s="993"/>
      <c r="HY1" s="993"/>
      <c r="HZ1" s="993"/>
      <c r="IA1" s="993"/>
      <c r="IB1" s="993"/>
      <c r="IC1" s="993"/>
      <c r="ID1" s="993"/>
      <c r="IE1" s="993"/>
      <c r="IF1" s="993"/>
      <c r="IG1" s="993"/>
      <c r="II1" s="92"/>
      <c r="IJ1" s="91"/>
      <c r="IK1" s="985" t="s">
        <v>16</v>
      </c>
      <c r="IL1" s="985"/>
      <c r="IM1" s="985"/>
      <c r="IN1" s="985"/>
      <c r="IO1" s="985"/>
      <c r="IP1" s="985"/>
      <c r="IQ1" s="985"/>
      <c r="IR1" s="985"/>
      <c r="IS1" s="985"/>
      <c r="IT1" s="985"/>
      <c r="IU1" s="985"/>
      <c r="IV1" s="985"/>
      <c r="IW1" s="985"/>
      <c r="IX1" s="91"/>
      <c r="IY1" s="92"/>
      <c r="IZ1" s="91"/>
      <c r="JA1" s="969" t="s">
        <v>17</v>
      </c>
      <c r="JB1" s="969"/>
      <c r="JC1" s="969"/>
      <c r="JD1" s="969"/>
      <c r="JE1" s="969"/>
      <c r="JF1" s="969"/>
      <c r="JG1" s="969"/>
      <c r="JH1" s="969"/>
      <c r="JI1" s="969"/>
      <c r="JJ1" s="969"/>
      <c r="JK1" s="969"/>
      <c r="JL1" s="969"/>
      <c r="JM1" s="969"/>
      <c r="JN1" s="969"/>
      <c r="JO1" s="969"/>
      <c r="JP1" s="969"/>
      <c r="JQ1" s="969"/>
      <c r="JR1" s="969"/>
      <c r="JS1" s="969"/>
      <c r="JT1" s="969"/>
      <c r="JU1" s="969"/>
      <c r="JV1" s="969"/>
      <c r="JW1" s="969"/>
      <c r="JX1" s="93"/>
      <c r="JY1" s="95"/>
      <c r="JZ1" s="91"/>
      <c r="KA1" s="985" t="s">
        <v>18</v>
      </c>
      <c r="KB1" s="985"/>
      <c r="KC1" s="985"/>
      <c r="KD1" s="985"/>
      <c r="KE1" s="985"/>
      <c r="KF1" s="985"/>
      <c r="KG1" s="985"/>
      <c r="KH1" s="985"/>
      <c r="KI1" s="985"/>
      <c r="KJ1" s="985"/>
      <c r="KK1" s="702"/>
      <c r="KL1" s="703"/>
      <c r="KM1" s="702"/>
      <c r="KN1" s="985" t="s">
        <v>19</v>
      </c>
      <c r="KO1" s="985"/>
      <c r="KP1" s="985"/>
      <c r="KQ1" s="985"/>
      <c r="KR1" s="985"/>
      <c r="KS1" s="985"/>
      <c r="KT1" s="985"/>
      <c r="KU1" s="985"/>
      <c r="KV1" s="985"/>
      <c r="KW1" s="985"/>
      <c r="KX1" s="985"/>
      <c r="KY1" s="985"/>
      <c r="KZ1" s="985"/>
      <c r="LA1" s="985"/>
      <c r="LB1" s="474"/>
      <c r="LC1" s="703"/>
      <c r="LD1" s="474"/>
      <c r="LE1" s="985" t="s">
        <v>20</v>
      </c>
      <c r="LF1" s="985"/>
      <c r="LG1" s="985"/>
      <c r="LH1" s="985"/>
      <c r="LI1" s="985"/>
      <c r="LJ1" s="985"/>
      <c r="LK1" s="985"/>
      <c r="LL1" s="985"/>
      <c r="LM1" s="985"/>
      <c r="LN1" s="985"/>
      <c r="LO1" s="985"/>
      <c r="LP1" s="985"/>
      <c r="LQ1" s="985"/>
      <c r="LR1" s="985"/>
      <c r="LS1" s="985"/>
      <c r="LT1" s="985"/>
      <c r="LU1" s="985"/>
      <c r="LV1" s="985"/>
      <c r="LW1" s="985"/>
      <c r="LX1" s="985"/>
      <c r="LY1" s="985"/>
      <c r="LZ1" s="985"/>
      <c r="MA1" s="895"/>
      <c r="MB1" s="704"/>
      <c r="MC1" s="702"/>
      <c r="MD1" s="985" t="s">
        <v>21</v>
      </c>
      <c r="ME1" s="985"/>
      <c r="MF1" s="985"/>
      <c r="MG1" s="985"/>
      <c r="MH1" s="985"/>
      <c r="MI1" s="985"/>
      <c r="MJ1" s="985"/>
      <c r="MK1" s="985"/>
      <c r="ML1" s="985"/>
      <c r="MM1" s="985"/>
      <c r="MN1" s="985"/>
      <c r="MO1" s="492"/>
      <c r="MP1" s="705"/>
      <c r="MQ1" s="492"/>
      <c r="MR1" s="985" t="s">
        <v>22</v>
      </c>
      <c r="MS1" s="985"/>
      <c r="MT1" s="985"/>
      <c r="MU1" s="492"/>
      <c r="MV1" s="705"/>
      <c r="MW1" s="492"/>
      <c r="MX1" s="987" t="s">
        <v>23</v>
      </c>
      <c r="MY1" s="987"/>
      <c r="MZ1" s="987"/>
      <c r="NA1" s="987"/>
      <c r="NB1" s="987"/>
      <c r="NC1" s="987"/>
      <c r="ND1" s="987"/>
      <c r="NE1" s="492"/>
      <c r="NF1" s="705"/>
      <c r="NG1" s="492"/>
      <c r="NH1" s="984" t="s">
        <v>24</v>
      </c>
      <c r="NI1" s="984"/>
      <c r="NJ1" s="984"/>
      <c r="NK1" s="984"/>
      <c r="NL1" s="984"/>
      <c r="NM1" s="984"/>
      <c r="NN1" s="492"/>
      <c r="NO1" s="705"/>
      <c r="NP1" s="492"/>
    </row>
    <row r="2" spans="2:387" x14ac:dyDescent="0.3">
      <c r="B2" s="99"/>
      <c r="C2" s="100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01"/>
      <c r="AK2" s="101"/>
      <c r="AM2" s="93"/>
      <c r="AO2" s="93"/>
      <c r="AP2" s="93"/>
      <c r="AQ2" s="93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1"/>
      <c r="EN2" s="105"/>
      <c r="EO2" s="106"/>
      <c r="FD2" s="105"/>
      <c r="FE2" s="106"/>
      <c r="FS2" s="93"/>
      <c r="GF2" s="93"/>
      <c r="GG2" s="95"/>
      <c r="GS2" s="93"/>
      <c r="GT2" s="95"/>
      <c r="HF2" s="93"/>
      <c r="HG2" s="95"/>
      <c r="HV2" s="993"/>
      <c r="HW2" s="993"/>
      <c r="HX2" s="993"/>
      <c r="HY2" s="993"/>
      <c r="HZ2" s="993"/>
      <c r="IA2" s="993"/>
      <c r="IB2" s="993"/>
      <c r="IC2" s="993"/>
      <c r="ID2" s="993"/>
      <c r="IE2" s="993"/>
      <c r="IF2" s="993"/>
      <c r="IG2" s="993"/>
      <c r="IH2" s="93"/>
      <c r="IK2" s="985"/>
      <c r="IL2" s="985"/>
      <c r="IM2" s="985"/>
      <c r="IN2" s="985"/>
      <c r="IO2" s="985"/>
      <c r="IP2" s="985"/>
      <c r="IQ2" s="985"/>
      <c r="IR2" s="985"/>
      <c r="IS2" s="985"/>
      <c r="IT2" s="985"/>
      <c r="IU2" s="985"/>
      <c r="IV2" s="985"/>
      <c r="IW2" s="985"/>
      <c r="JZ2" s="108"/>
      <c r="KA2" s="986"/>
      <c r="KB2" s="986"/>
      <c r="KC2" s="986"/>
      <c r="KD2" s="986"/>
      <c r="KE2" s="986"/>
      <c r="KF2" s="986"/>
      <c r="KG2" s="986"/>
      <c r="KH2" s="986"/>
      <c r="KI2" s="986"/>
      <c r="KJ2" s="986"/>
      <c r="KK2" s="702"/>
      <c r="KL2" s="706"/>
      <c r="KM2" s="702"/>
      <c r="KN2" s="985"/>
      <c r="KO2" s="985"/>
      <c r="KP2" s="985"/>
      <c r="KQ2" s="985"/>
      <c r="KR2" s="985"/>
      <c r="KS2" s="985"/>
      <c r="KT2" s="985"/>
      <c r="KU2" s="985"/>
      <c r="KV2" s="985"/>
      <c r="KW2" s="985"/>
      <c r="KX2" s="985"/>
      <c r="KY2" s="985"/>
      <c r="KZ2" s="985"/>
      <c r="LA2" s="985"/>
      <c r="LB2" s="707"/>
      <c r="LC2" s="708"/>
      <c r="LD2" s="707"/>
      <c r="LE2" s="985"/>
      <c r="LF2" s="985"/>
      <c r="LG2" s="985"/>
      <c r="LH2" s="985"/>
      <c r="LI2" s="985"/>
      <c r="LJ2" s="985"/>
      <c r="LK2" s="985"/>
      <c r="LL2" s="985"/>
      <c r="LM2" s="985"/>
      <c r="LN2" s="985"/>
      <c r="LO2" s="985"/>
      <c r="LP2" s="985"/>
      <c r="LQ2" s="985"/>
      <c r="LR2" s="985"/>
      <c r="LS2" s="985"/>
      <c r="LT2" s="985"/>
      <c r="LU2" s="985"/>
      <c r="LV2" s="985"/>
      <c r="LW2" s="985"/>
      <c r="LX2" s="985"/>
      <c r="LY2" s="985"/>
      <c r="LZ2" s="985"/>
      <c r="MA2" s="709"/>
      <c r="MB2" s="710"/>
      <c r="MC2" s="702"/>
      <c r="MD2" s="985"/>
      <c r="ME2" s="985"/>
      <c r="MF2" s="985"/>
      <c r="MG2" s="985"/>
      <c r="MH2" s="985"/>
      <c r="MI2" s="985"/>
      <c r="MJ2" s="985"/>
      <c r="MK2" s="985"/>
      <c r="ML2" s="985"/>
      <c r="MM2" s="985"/>
      <c r="MN2" s="985"/>
      <c r="MO2" s="702"/>
      <c r="MP2" s="703"/>
      <c r="MQ2" s="474"/>
      <c r="MR2" s="985"/>
      <c r="MS2" s="985"/>
      <c r="MT2" s="985"/>
      <c r="MU2" s="474"/>
      <c r="MV2" s="703"/>
      <c r="MW2" s="474"/>
      <c r="MX2" s="987"/>
      <c r="MY2" s="987"/>
      <c r="MZ2" s="987"/>
      <c r="NA2" s="987"/>
      <c r="NB2" s="987"/>
      <c r="NC2" s="987"/>
      <c r="ND2" s="987"/>
      <c r="NE2" s="702"/>
      <c r="NF2" s="703"/>
      <c r="NG2" s="474"/>
      <c r="NH2" s="984"/>
      <c r="NI2" s="984"/>
      <c r="NJ2" s="984"/>
      <c r="NK2" s="984"/>
      <c r="NL2" s="984"/>
      <c r="NM2" s="984"/>
      <c r="NN2" s="702"/>
      <c r="NO2" s="703"/>
      <c r="NP2" s="474"/>
    </row>
    <row r="3" spans="2:387" ht="16.5" customHeight="1" x14ac:dyDescent="0.3">
      <c r="B3" s="89"/>
      <c r="C3" s="89"/>
      <c r="D3" s="89"/>
      <c r="E3" s="89"/>
      <c r="F3" s="988" t="s">
        <v>25</v>
      </c>
      <c r="G3" s="989"/>
      <c r="H3" s="988" t="s">
        <v>26</v>
      </c>
      <c r="I3" s="990"/>
      <c r="J3" s="989"/>
      <c r="K3" s="988" t="s">
        <v>27</v>
      </c>
      <c r="L3" s="990"/>
      <c r="M3" s="989"/>
      <c r="N3" s="988" t="s">
        <v>28</v>
      </c>
      <c r="O3" s="990"/>
      <c r="P3" s="989"/>
      <c r="Q3" s="988" t="s">
        <v>29</v>
      </c>
      <c r="R3" s="990"/>
      <c r="S3" s="111"/>
      <c r="T3" s="112"/>
      <c r="U3" s="113"/>
      <c r="V3" s="114"/>
      <c r="W3" s="114"/>
      <c r="X3" s="114"/>
      <c r="Y3" s="114"/>
      <c r="Z3" s="114"/>
      <c r="AA3" s="114"/>
      <c r="AD3" s="112"/>
      <c r="AF3" s="114"/>
      <c r="AG3" s="114"/>
      <c r="AH3" s="114"/>
      <c r="AI3" s="114"/>
      <c r="AJ3" s="114"/>
      <c r="AK3" s="115"/>
      <c r="AN3" s="116"/>
      <c r="AO3" s="117"/>
      <c r="AP3" s="118"/>
      <c r="AQ3" s="117"/>
      <c r="AR3" s="119"/>
      <c r="AS3" s="991" t="s">
        <v>30</v>
      </c>
      <c r="AT3" s="992"/>
      <c r="AU3" s="117"/>
      <c r="AV3" s="991" t="s">
        <v>31</v>
      </c>
      <c r="AW3" s="992"/>
      <c r="AX3" s="992"/>
      <c r="AY3" s="117"/>
      <c r="AZ3" s="991" t="s">
        <v>32</v>
      </c>
      <c r="BA3" s="992"/>
      <c r="BB3" s="992"/>
      <c r="BC3" s="117"/>
      <c r="BD3" s="991" t="s">
        <v>33</v>
      </c>
      <c r="BE3" s="992"/>
      <c r="BF3" s="992"/>
      <c r="BG3" s="117"/>
      <c r="BH3" s="991" t="s">
        <v>34</v>
      </c>
      <c r="BI3" s="992"/>
      <c r="BJ3" s="992"/>
      <c r="BK3" s="117"/>
      <c r="BL3" s="991" t="s">
        <v>35</v>
      </c>
      <c r="BM3" s="992"/>
      <c r="BN3" s="992"/>
      <c r="BO3" s="117"/>
      <c r="BP3" s="991" t="s">
        <v>36</v>
      </c>
      <c r="BQ3" s="992"/>
      <c r="BR3" s="992"/>
      <c r="BS3" s="117"/>
      <c r="BT3" s="991" t="s">
        <v>37</v>
      </c>
      <c r="BU3" s="992"/>
      <c r="BV3" s="992"/>
      <c r="BW3" s="992" t="s">
        <v>38</v>
      </c>
      <c r="BX3" s="992"/>
      <c r="BY3" s="994"/>
      <c r="BZ3" s="991" t="s">
        <v>39</v>
      </c>
      <c r="CA3" s="992"/>
      <c r="CB3" s="994"/>
      <c r="CC3" s="991" t="s">
        <v>25</v>
      </c>
      <c r="CD3" s="992"/>
      <c r="CE3" s="994"/>
      <c r="CF3" s="966" t="s">
        <v>40</v>
      </c>
      <c r="CG3" s="968"/>
      <c r="CK3" s="120"/>
      <c r="CL3" s="121"/>
      <c r="CM3" s="973" t="str">
        <f>F3</f>
        <v>2022 Fiscal Year As Accepted</v>
      </c>
      <c r="CN3" s="974"/>
      <c r="CO3" s="974"/>
      <c r="CP3" s="975"/>
      <c r="CQ3" s="973" t="str">
        <f>H3</f>
        <v>2022 Fiscal Year As Adjusted</v>
      </c>
      <c r="CR3" s="974"/>
      <c r="CS3" s="974"/>
      <c r="CT3" s="975"/>
      <c r="CU3" s="101"/>
      <c r="CX3" s="117"/>
      <c r="CY3" s="122"/>
      <c r="CZ3" s="973" t="str">
        <f>CM3</f>
        <v>2022 Fiscal Year As Accepted</v>
      </c>
      <c r="DA3" s="975"/>
      <c r="DB3" s="973" t="str">
        <f>CQ3</f>
        <v>2022 Fiscal Year As Adjusted</v>
      </c>
      <c r="DC3" s="974"/>
      <c r="DD3" s="975"/>
      <c r="DH3" s="123"/>
      <c r="DI3" s="124"/>
      <c r="DJ3" s="973" t="str">
        <f>CZ3</f>
        <v>2022 Fiscal Year As Accepted</v>
      </c>
      <c r="DK3" s="975"/>
      <c r="DL3" s="973" t="str">
        <f>DB3</f>
        <v>2022 Fiscal Year As Adjusted</v>
      </c>
      <c r="DM3" s="975"/>
      <c r="DQ3" s="117"/>
      <c r="DR3" s="125"/>
      <c r="DS3" s="992" t="str">
        <f>CZ3</f>
        <v>2022 Fiscal Year As Accepted</v>
      </c>
      <c r="DT3" s="992"/>
      <c r="DU3" s="992"/>
      <c r="DV3" s="994"/>
      <c r="DW3" s="991" t="str">
        <f>DB3</f>
        <v>2022 Fiscal Year As Adjusted</v>
      </c>
      <c r="DX3" s="992"/>
      <c r="DY3" s="992"/>
      <c r="DZ3" s="994"/>
      <c r="EB3" s="126"/>
      <c r="ED3" s="117"/>
      <c r="EE3" s="117"/>
      <c r="EF3" s="991" t="str">
        <f>DS3</f>
        <v>2022 Fiscal Year As Accepted</v>
      </c>
      <c r="EG3" s="992"/>
      <c r="EH3" s="992"/>
      <c r="EI3" s="994"/>
      <c r="EJ3" s="991" t="str">
        <f>DW3</f>
        <v>2022 Fiscal Year As Adjusted</v>
      </c>
      <c r="EK3" s="992"/>
      <c r="EL3" s="992"/>
      <c r="EM3" s="994"/>
      <c r="EN3" s="101"/>
      <c r="EO3" s="127"/>
      <c r="EQ3" s="117"/>
      <c r="ER3" s="119"/>
      <c r="ES3" s="991" t="str">
        <f>EF3</f>
        <v>2022 Fiscal Year As Accepted</v>
      </c>
      <c r="ET3" s="992"/>
      <c r="EU3" s="992"/>
      <c r="EV3" s="994"/>
      <c r="EW3" s="991" t="str">
        <f>EJ3</f>
        <v>2022 Fiscal Year As Adjusted</v>
      </c>
      <c r="EX3" s="992"/>
      <c r="EY3" s="992"/>
      <c r="EZ3" s="994"/>
      <c r="FA3" s="991" t="s">
        <v>41</v>
      </c>
      <c r="FB3" s="992"/>
      <c r="FC3" s="994"/>
      <c r="FD3" s="101"/>
      <c r="FE3" s="127"/>
      <c r="FG3" s="117"/>
      <c r="FH3" s="117"/>
      <c r="FI3" s="117"/>
      <c r="FJ3" s="995" t="str">
        <f>EF3</f>
        <v>2022 Fiscal Year As Accepted</v>
      </c>
      <c r="FK3" s="996"/>
      <c r="FL3" s="996"/>
      <c r="FM3" s="997"/>
      <c r="FN3" s="995" t="str">
        <f>EJ3</f>
        <v>2022 Fiscal Year As Adjusted</v>
      </c>
      <c r="FO3" s="996"/>
      <c r="FP3" s="996"/>
      <c r="FQ3" s="996"/>
      <c r="FR3" s="997"/>
      <c r="FS3" s="93"/>
      <c r="FT3" s="95"/>
      <c r="FV3" s="116"/>
      <c r="FW3" s="117"/>
      <c r="FX3" s="973" t="str">
        <f>FJ3</f>
        <v>2022 Fiscal Year As Accepted</v>
      </c>
      <c r="FY3" s="974"/>
      <c r="FZ3" s="974"/>
      <c r="GA3" s="975"/>
      <c r="GB3" s="973" t="str">
        <f>FN3</f>
        <v>2022 Fiscal Year As Adjusted</v>
      </c>
      <c r="GC3" s="974"/>
      <c r="GD3" s="974"/>
      <c r="GE3" s="975"/>
      <c r="GF3" s="101"/>
      <c r="GG3" s="128"/>
      <c r="GI3" s="116"/>
      <c r="GJ3" s="117"/>
      <c r="GK3" s="973" t="str">
        <f>FX3</f>
        <v>2022 Fiscal Year As Accepted</v>
      </c>
      <c r="GL3" s="974"/>
      <c r="GM3" s="974"/>
      <c r="GN3" s="975"/>
      <c r="GO3" s="973" t="str">
        <f>GB3</f>
        <v>2022 Fiscal Year As Adjusted</v>
      </c>
      <c r="GP3" s="974"/>
      <c r="GQ3" s="974"/>
      <c r="GR3" s="974"/>
      <c r="GS3" s="101"/>
      <c r="GT3" s="128"/>
      <c r="GV3" s="116"/>
      <c r="GW3" s="117"/>
      <c r="GX3" s="995" t="str">
        <f>FJ3</f>
        <v>2022 Fiscal Year As Accepted</v>
      </c>
      <c r="GY3" s="996"/>
      <c r="GZ3" s="996"/>
      <c r="HA3" s="997"/>
      <c r="HB3" s="973" t="str">
        <f>FN3</f>
        <v>2022 Fiscal Year As Adjusted</v>
      </c>
      <c r="HC3" s="974"/>
      <c r="HD3" s="974"/>
      <c r="HE3" s="975"/>
      <c r="HF3" s="101"/>
      <c r="HG3" s="128"/>
      <c r="HI3" s="117"/>
      <c r="HJ3" s="117"/>
      <c r="HK3" s="970" t="str">
        <f>GX3</f>
        <v>2022 Fiscal Year As Accepted</v>
      </c>
      <c r="HL3" s="971"/>
      <c r="HM3" s="971"/>
      <c r="HN3" s="972"/>
      <c r="HO3" s="970" t="str">
        <f>HB3</f>
        <v>2022 Fiscal Year As Adjusted</v>
      </c>
      <c r="HP3" s="971"/>
      <c r="HQ3" s="971"/>
      <c r="HR3" s="972"/>
      <c r="HV3" s="101"/>
      <c r="HW3" s="129"/>
      <c r="HX3" s="130"/>
      <c r="HY3" s="130"/>
      <c r="HZ3" s="130"/>
      <c r="IA3" s="130"/>
      <c r="IB3" s="130"/>
      <c r="IC3" s="131"/>
      <c r="ID3" s="130"/>
      <c r="IE3" s="130"/>
      <c r="IF3" s="130"/>
      <c r="IG3" s="130"/>
      <c r="IH3" s="132"/>
      <c r="IJ3" s="132"/>
      <c r="IK3" s="897"/>
      <c r="IL3" s="133"/>
      <c r="IM3" s="133"/>
      <c r="IN3" s="966" t="s">
        <v>42</v>
      </c>
      <c r="IO3" s="967"/>
      <c r="IP3" s="966" t="s">
        <v>43</v>
      </c>
      <c r="IQ3" s="967"/>
      <c r="IR3" s="966" t="s">
        <v>44</v>
      </c>
      <c r="IS3" s="967"/>
      <c r="IT3" s="966" t="s">
        <v>45</v>
      </c>
      <c r="IU3" s="967"/>
      <c r="IV3" s="966" t="s">
        <v>46</v>
      </c>
      <c r="IW3" s="968"/>
      <c r="IX3" s="109"/>
      <c r="IY3" s="110"/>
      <c r="IZ3" s="109"/>
      <c r="JA3" s="117"/>
      <c r="JB3" s="134"/>
      <c r="JC3" s="134"/>
      <c r="JD3" s="134"/>
      <c r="JE3" s="978" t="s">
        <v>47</v>
      </c>
      <c r="JF3" s="979"/>
      <c r="JG3" s="978" t="s">
        <v>48</v>
      </c>
      <c r="JH3" s="979"/>
      <c r="JI3" s="978" t="s">
        <v>49</v>
      </c>
      <c r="JJ3" s="979"/>
      <c r="JK3" s="978" t="s">
        <v>50</v>
      </c>
      <c r="JL3" s="979"/>
      <c r="JM3" s="978" t="s">
        <v>51</v>
      </c>
      <c r="JN3" s="979"/>
      <c r="JO3" s="978" t="s">
        <v>52</v>
      </c>
      <c r="JP3" s="979"/>
      <c r="JQ3" s="978" t="s">
        <v>53</v>
      </c>
      <c r="JR3" s="979"/>
      <c r="JS3" s="978" t="s">
        <v>54</v>
      </c>
      <c r="JT3" s="979"/>
      <c r="JU3" s="978" t="s">
        <v>55</v>
      </c>
      <c r="JV3" s="980"/>
      <c r="JW3" s="980"/>
      <c r="JX3" s="132"/>
      <c r="JY3" s="135"/>
      <c r="JZ3" s="108"/>
      <c r="KA3" s="136"/>
      <c r="KB3" s="137"/>
      <c r="KC3" s="137"/>
      <c r="KD3" s="137"/>
      <c r="KE3" s="137"/>
      <c r="KF3" s="137"/>
      <c r="KG3" s="137"/>
      <c r="KH3" s="137"/>
      <c r="KI3" s="137"/>
      <c r="KJ3" s="137"/>
      <c r="KK3" s="109"/>
      <c r="KL3" s="110"/>
      <c r="KM3" s="138"/>
      <c r="KN3" s="139"/>
      <c r="KO3" s="133"/>
      <c r="KP3" s="133"/>
      <c r="KQ3" s="140"/>
      <c r="KR3" s="966" t="s">
        <v>42</v>
      </c>
      <c r="KS3" s="967"/>
      <c r="KT3" s="966" t="s">
        <v>43</v>
      </c>
      <c r="KU3" s="967"/>
      <c r="KV3" s="966" t="s">
        <v>56</v>
      </c>
      <c r="KW3" s="967"/>
      <c r="KX3" s="966" t="s">
        <v>57</v>
      </c>
      <c r="KY3" s="967"/>
      <c r="KZ3" s="966" t="s">
        <v>46</v>
      </c>
      <c r="LA3" s="968"/>
      <c r="LB3" s="138"/>
      <c r="LC3" s="141"/>
      <c r="LD3" s="138"/>
      <c r="LE3" s="142"/>
      <c r="LF3" s="133"/>
      <c r="LG3" s="133"/>
      <c r="LH3" s="133"/>
      <c r="LI3" s="966" t="s">
        <v>47</v>
      </c>
      <c r="LJ3" s="967"/>
      <c r="LK3" s="966" t="s">
        <v>58</v>
      </c>
      <c r="LL3" s="967"/>
      <c r="LM3" s="966" t="s">
        <v>49</v>
      </c>
      <c r="LN3" s="967"/>
      <c r="LO3" s="966" t="s">
        <v>50</v>
      </c>
      <c r="LP3" s="967"/>
      <c r="LQ3" s="966" t="s">
        <v>51</v>
      </c>
      <c r="LR3" s="967"/>
      <c r="LS3" s="966" t="s">
        <v>52</v>
      </c>
      <c r="LT3" s="967"/>
      <c r="LU3" s="966" t="s">
        <v>53</v>
      </c>
      <c r="LV3" s="967"/>
      <c r="LW3" s="966" t="s">
        <v>54</v>
      </c>
      <c r="LX3" s="967"/>
      <c r="LY3" s="966" t="s">
        <v>59</v>
      </c>
      <c r="LZ3" s="968"/>
      <c r="MA3" s="108"/>
      <c r="MB3" s="143"/>
      <c r="MD3" s="117"/>
      <c r="ME3" s="896"/>
      <c r="MF3" s="966" t="s">
        <v>46</v>
      </c>
      <c r="MG3" s="968"/>
      <c r="MH3" s="967"/>
      <c r="MI3" s="966" t="s">
        <v>60</v>
      </c>
      <c r="MJ3" s="968"/>
      <c r="MK3" s="967"/>
      <c r="ML3" s="966" t="s">
        <v>61</v>
      </c>
      <c r="MM3" s="968"/>
      <c r="MN3" s="967"/>
      <c r="MP3" s="95"/>
      <c r="MQ3" s="93"/>
      <c r="MR3" s="144"/>
      <c r="MS3" s="144"/>
      <c r="MT3" s="144"/>
      <c r="MU3" s="93"/>
      <c r="MV3" s="95"/>
      <c r="MW3" s="93"/>
      <c r="MX3" s="145"/>
      <c r="MY3" s="145"/>
      <c r="MZ3" s="114"/>
      <c r="NA3" s="114"/>
      <c r="NB3" s="114"/>
      <c r="NC3" s="114"/>
      <c r="ND3" s="114"/>
      <c r="NF3" s="95"/>
      <c r="NG3" s="93"/>
      <c r="NH3" s="145"/>
      <c r="NI3" s="114"/>
      <c r="NJ3" s="114"/>
      <c r="NK3" s="114"/>
      <c r="NL3" s="114"/>
      <c r="NM3" s="114"/>
      <c r="NO3" s="95"/>
      <c r="NP3" s="93"/>
    </row>
    <row r="4" spans="2:387" ht="49.5" customHeight="1" x14ac:dyDescent="0.3">
      <c r="B4" s="147"/>
      <c r="C4" s="148"/>
      <c r="D4" s="148"/>
      <c r="E4" s="148"/>
      <c r="F4" s="90" t="s">
        <v>62</v>
      </c>
      <c r="G4" s="149" t="s">
        <v>63</v>
      </c>
      <c r="H4" s="90" t="s">
        <v>62</v>
      </c>
      <c r="I4" s="150" t="s">
        <v>63</v>
      </c>
      <c r="J4" s="149" t="s">
        <v>64</v>
      </c>
      <c r="K4" s="90" t="s">
        <v>62</v>
      </c>
      <c r="L4" s="150" t="s">
        <v>63</v>
      </c>
      <c r="M4" s="149" t="s">
        <v>65</v>
      </c>
      <c r="N4" s="90" t="s">
        <v>62</v>
      </c>
      <c r="O4" s="150" t="s">
        <v>63</v>
      </c>
      <c r="P4" s="149" t="s">
        <v>66</v>
      </c>
      <c r="Q4" s="151" t="s">
        <v>67</v>
      </c>
      <c r="R4" s="150" t="s">
        <v>68</v>
      </c>
      <c r="S4" s="132"/>
      <c r="T4" s="152"/>
      <c r="U4" s="153"/>
      <c r="V4" s="154"/>
      <c r="W4" s="154"/>
      <c r="X4" s="155" t="s">
        <v>69</v>
      </c>
      <c r="Y4" s="155" t="s">
        <v>70</v>
      </c>
      <c r="Z4" s="155" t="s">
        <v>71</v>
      </c>
      <c r="AA4" s="155" t="s">
        <v>72</v>
      </c>
      <c r="AB4" s="156"/>
      <c r="AC4" s="146"/>
      <c r="AD4" s="152"/>
      <c r="AE4" s="146"/>
      <c r="AF4" s="148"/>
      <c r="AG4" s="148"/>
      <c r="AH4" s="147" t="str">
        <f>D14</f>
        <v>Direct Labour</v>
      </c>
      <c r="AI4" s="147" t="str">
        <f>D15</f>
        <v>Collector Labour</v>
      </c>
      <c r="AJ4" s="147" t="str">
        <f>D16</f>
        <v>Overhead Labour</v>
      </c>
      <c r="AK4" s="153"/>
      <c r="AL4" s="152"/>
      <c r="AM4" s="146"/>
      <c r="AN4" s="155"/>
      <c r="AO4" s="158"/>
      <c r="AP4" s="158"/>
      <c r="AQ4" s="158"/>
      <c r="AR4" s="158"/>
      <c r="AS4" s="159" t="s">
        <v>62</v>
      </c>
      <c r="AT4" s="160" t="s">
        <v>73</v>
      </c>
      <c r="AU4" s="155"/>
      <c r="AV4" s="159" t="s">
        <v>62</v>
      </c>
      <c r="AW4" s="160" t="s">
        <v>73</v>
      </c>
      <c r="AX4" s="160" t="s">
        <v>74</v>
      </c>
      <c r="AY4" s="155"/>
      <c r="AZ4" s="159" t="s">
        <v>62</v>
      </c>
      <c r="BA4" s="160" t="s">
        <v>73</v>
      </c>
      <c r="BB4" s="160" t="s">
        <v>74</v>
      </c>
      <c r="BC4" s="155"/>
      <c r="BD4" s="159" t="s">
        <v>62</v>
      </c>
      <c r="BE4" s="160" t="s">
        <v>73</v>
      </c>
      <c r="BF4" s="160" t="s">
        <v>74</v>
      </c>
      <c r="BG4" s="155"/>
      <c r="BH4" s="159" t="s">
        <v>62</v>
      </c>
      <c r="BI4" s="160" t="s">
        <v>73</v>
      </c>
      <c r="BJ4" s="160" t="s">
        <v>74</v>
      </c>
      <c r="BK4" s="155"/>
      <c r="BL4" s="159" t="s">
        <v>62</v>
      </c>
      <c r="BM4" s="160" t="s">
        <v>73</v>
      </c>
      <c r="BN4" s="160" t="s">
        <v>74</v>
      </c>
      <c r="BO4" s="155"/>
      <c r="BP4" s="159" t="s">
        <v>62</v>
      </c>
      <c r="BQ4" s="160" t="s">
        <v>73</v>
      </c>
      <c r="BR4" s="160" t="s">
        <v>74</v>
      </c>
      <c r="BS4" s="155"/>
      <c r="BT4" s="159" t="s">
        <v>62</v>
      </c>
      <c r="BU4" s="160" t="s">
        <v>73</v>
      </c>
      <c r="BV4" s="160" t="s">
        <v>75</v>
      </c>
      <c r="BW4" s="159" t="s">
        <v>62</v>
      </c>
      <c r="BX4" s="160" t="s">
        <v>73</v>
      </c>
      <c r="BY4" s="160" t="s">
        <v>75</v>
      </c>
      <c r="BZ4" s="159" t="s">
        <v>62</v>
      </c>
      <c r="CA4" s="160" t="s">
        <v>73</v>
      </c>
      <c r="CB4" s="160" t="s">
        <v>75</v>
      </c>
      <c r="CC4" s="159" t="s">
        <v>62</v>
      </c>
      <c r="CD4" s="160" t="s">
        <v>73</v>
      </c>
      <c r="CE4" s="160" t="s">
        <v>75</v>
      </c>
      <c r="CF4" s="161" t="s">
        <v>76</v>
      </c>
      <c r="CG4" s="160" t="s">
        <v>77</v>
      </c>
      <c r="CH4" s="146"/>
      <c r="CI4" s="157"/>
      <c r="CJ4" s="146"/>
      <c r="CK4" s="162"/>
      <c r="CL4" s="163"/>
      <c r="CM4" s="164" t="s">
        <v>78</v>
      </c>
      <c r="CN4" s="165" t="s">
        <v>79</v>
      </c>
      <c r="CO4" s="147" t="s">
        <v>80</v>
      </c>
      <c r="CP4" s="166" t="s">
        <v>72</v>
      </c>
      <c r="CQ4" s="164" t="s">
        <v>78</v>
      </c>
      <c r="CR4" s="165" t="s">
        <v>79</v>
      </c>
      <c r="CS4" s="147" t="s">
        <v>80</v>
      </c>
      <c r="CT4" s="166" t="s">
        <v>72</v>
      </c>
      <c r="CU4" s="167"/>
      <c r="CV4" s="157"/>
      <c r="CW4" s="146"/>
      <c r="CX4" s="147"/>
      <c r="CY4" s="165" t="s">
        <v>81</v>
      </c>
      <c r="CZ4" s="164" t="s">
        <v>82</v>
      </c>
      <c r="DA4" s="168" t="s">
        <v>83</v>
      </c>
      <c r="DB4" s="164" t="s">
        <v>82</v>
      </c>
      <c r="DC4" s="169" t="s">
        <v>83</v>
      </c>
      <c r="DD4" s="170" t="s">
        <v>84</v>
      </c>
      <c r="DE4" s="146"/>
      <c r="DF4" s="157"/>
      <c r="DG4" s="146"/>
      <c r="DH4" s="147"/>
      <c r="DI4" s="165" t="s">
        <v>81</v>
      </c>
      <c r="DJ4" s="164" t="s">
        <v>82</v>
      </c>
      <c r="DK4" s="168" t="s">
        <v>83</v>
      </c>
      <c r="DL4" s="164" t="s">
        <v>82</v>
      </c>
      <c r="DM4" s="168" t="s">
        <v>83</v>
      </c>
      <c r="DN4" s="146"/>
      <c r="DO4" s="157"/>
      <c r="DP4" s="146"/>
      <c r="DQ4" s="147"/>
      <c r="DR4" s="171"/>
      <c r="DS4" s="147" t="s">
        <v>69</v>
      </c>
      <c r="DT4" s="147" t="s">
        <v>70</v>
      </c>
      <c r="DU4" s="147" t="s">
        <v>71</v>
      </c>
      <c r="DV4" s="172" t="s">
        <v>72</v>
      </c>
      <c r="DW4" s="164" t="s">
        <v>69</v>
      </c>
      <c r="DX4" s="147" t="s">
        <v>70</v>
      </c>
      <c r="DY4" s="147" t="s">
        <v>71</v>
      </c>
      <c r="DZ4" s="173" t="s">
        <v>72</v>
      </c>
      <c r="EA4" s="174"/>
      <c r="EB4" s="157"/>
      <c r="EC4" s="146"/>
      <c r="ED4" s="148"/>
      <c r="EE4" s="148"/>
      <c r="EF4" s="175" t="s">
        <v>69</v>
      </c>
      <c r="EG4" s="176" t="s">
        <v>70</v>
      </c>
      <c r="EH4" s="176" t="s">
        <v>71</v>
      </c>
      <c r="EI4" s="177" t="s">
        <v>72</v>
      </c>
      <c r="EJ4" s="175" t="s">
        <v>69</v>
      </c>
      <c r="EK4" s="176" t="s">
        <v>70</v>
      </c>
      <c r="EL4" s="176" t="s">
        <v>71</v>
      </c>
      <c r="EM4" s="177" t="s">
        <v>72</v>
      </c>
      <c r="EN4" s="178"/>
      <c r="EO4" s="179"/>
      <c r="EP4" s="146"/>
      <c r="EQ4" s="148"/>
      <c r="ER4" s="180"/>
      <c r="ES4" s="176" t="s">
        <v>69</v>
      </c>
      <c r="ET4" s="176" t="s">
        <v>70</v>
      </c>
      <c r="EU4" s="176" t="s">
        <v>71</v>
      </c>
      <c r="EV4" s="177" t="s">
        <v>72</v>
      </c>
      <c r="EW4" s="176" t="s">
        <v>69</v>
      </c>
      <c r="EX4" s="176" t="s">
        <v>70</v>
      </c>
      <c r="EY4" s="176" t="s">
        <v>71</v>
      </c>
      <c r="EZ4" s="177" t="s">
        <v>72</v>
      </c>
      <c r="FA4" s="181" t="s">
        <v>85</v>
      </c>
      <c r="FB4" s="181" t="s">
        <v>86</v>
      </c>
      <c r="FC4" s="182" t="s">
        <v>87</v>
      </c>
      <c r="FD4" s="178"/>
      <c r="FE4" s="179"/>
      <c r="FF4" s="146"/>
      <c r="FG4" s="158"/>
      <c r="FH4" s="158"/>
      <c r="FI4" s="183"/>
      <c r="FJ4" s="164" t="s">
        <v>69</v>
      </c>
      <c r="FK4" s="147" t="s">
        <v>70</v>
      </c>
      <c r="FL4" s="147" t="s">
        <v>71</v>
      </c>
      <c r="FM4" s="184" t="s">
        <v>72</v>
      </c>
      <c r="FN4" s="164" t="str">
        <f>FJ4</f>
        <v>Small</v>
      </c>
      <c r="FO4" s="147" t="s">
        <v>70</v>
      </c>
      <c r="FP4" s="147" t="str">
        <f>FL4</f>
        <v>Large</v>
      </c>
      <c r="FQ4" s="147" t="s">
        <v>72</v>
      </c>
      <c r="FR4" s="166" t="s">
        <v>88</v>
      </c>
      <c r="FS4" s="185"/>
      <c r="FT4" s="186"/>
      <c r="FU4" s="146"/>
      <c r="FV4" s="155"/>
      <c r="FW4" s="187"/>
      <c r="FX4" s="147" t="s">
        <v>69</v>
      </c>
      <c r="FY4" s="147" t="s">
        <v>70</v>
      </c>
      <c r="FZ4" s="147" t="s">
        <v>71</v>
      </c>
      <c r="GA4" s="184" t="s">
        <v>89</v>
      </c>
      <c r="GB4" s="147" t="s">
        <v>69</v>
      </c>
      <c r="GC4" s="147" t="s">
        <v>70</v>
      </c>
      <c r="GD4" s="147" t="s">
        <v>71</v>
      </c>
      <c r="GE4" s="184" t="s">
        <v>89</v>
      </c>
      <c r="GF4" s="188"/>
      <c r="GG4" s="189"/>
      <c r="GH4" s="146"/>
      <c r="GI4" s="155"/>
      <c r="GJ4" s="187"/>
      <c r="GK4" s="147" t="s">
        <v>69</v>
      </c>
      <c r="GL4" s="147" t="s">
        <v>70</v>
      </c>
      <c r="GM4" s="147" t="s">
        <v>71</v>
      </c>
      <c r="GN4" s="184" t="s">
        <v>89</v>
      </c>
      <c r="GO4" s="147" t="s">
        <v>69</v>
      </c>
      <c r="GP4" s="147" t="s">
        <v>70</v>
      </c>
      <c r="GQ4" s="147" t="s">
        <v>71</v>
      </c>
      <c r="GR4" s="184" t="s">
        <v>89</v>
      </c>
      <c r="GS4" s="188"/>
      <c r="GT4" s="189"/>
      <c r="GU4" s="146"/>
      <c r="GV4" s="155"/>
      <c r="GW4" s="187"/>
      <c r="GX4" s="147" t="s">
        <v>69</v>
      </c>
      <c r="GY4" s="147" t="s">
        <v>70</v>
      </c>
      <c r="GZ4" s="147" t="s">
        <v>71</v>
      </c>
      <c r="HA4" s="184" t="s">
        <v>89</v>
      </c>
      <c r="HB4" s="164" t="s">
        <v>69</v>
      </c>
      <c r="HC4" s="147" t="s">
        <v>70</v>
      </c>
      <c r="HD4" s="147" t="s">
        <v>71</v>
      </c>
      <c r="HE4" s="184" t="s">
        <v>89</v>
      </c>
      <c r="HF4" s="188"/>
      <c r="HG4" s="189"/>
      <c r="HH4" s="146"/>
      <c r="HI4" s="155"/>
      <c r="HJ4" s="183"/>
      <c r="HK4" s="164" t="s">
        <v>69</v>
      </c>
      <c r="HL4" s="147" t="s">
        <v>70</v>
      </c>
      <c r="HM4" s="147" t="s">
        <v>71</v>
      </c>
      <c r="HN4" s="184" t="s">
        <v>72</v>
      </c>
      <c r="HO4" s="164" t="s">
        <v>69</v>
      </c>
      <c r="HP4" s="147" t="s">
        <v>70</v>
      </c>
      <c r="HQ4" s="147" t="s">
        <v>71</v>
      </c>
      <c r="HR4" s="184" t="s">
        <v>72</v>
      </c>
      <c r="HS4" s="146"/>
      <c r="HT4" s="157"/>
      <c r="HU4" s="146"/>
      <c r="HV4" s="146"/>
      <c r="HW4" s="190"/>
      <c r="HX4" s="160" t="s">
        <v>90</v>
      </c>
      <c r="HY4" s="160" t="s">
        <v>91</v>
      </c>
      <c r="HZ4" s="160" t="s">
        <v>92</v>
      </c>
      <c r="IA4" s="191" t="s">
        <v>93</v>
      </c>
      <c r="IB4" s="192" t="s">
        <v>94</v>
      </c>
      <c r="IC4" s="192" t="s">
        <v>95</v>
      </c>
      <c r="ID4" s="192" t="s">
        <v>96</v>
      </c>
      <c r="IE4" s="192" t="s">
        <v>97</v>
      </c>
      <c r="IF4" s="192" t="s">
        <v>98</v>
      </c>
      <c r="IG4" s="192" t="s">
        <v>99</v>
      </c>
      <c r="IH4" s="138"/>
      <c r="II4" s="186"/>
      <c r="IJ4" s="138"/>
      <c r="IK4" s="160"/>
      <c r="IL4" s="193" t="s">
        <v>90</v>
      </c>
      <c r="IM4" s="194" t="str">
        <f>ID4</f>
        <v>Volume Ratio</v>
      </c>
      <c r="IN4" s="195" t="s">
        <v>100</v>
      </c>
      <c r="IO4" s="170" t="s">
        <v>101</v>
      </c>
      <c r="IP4" s="195" t="str">
        <f>JQ4</f>
        <v>Study System</v>
      </c>
      <c r="IQ4" s="170" t="s">
        <v>102</v>
      </c>
      <c r="IR4" s="195" t="str">
        <f>IP4</f>
        <v>Study System</v>
      </c>
      <c r="IS4" s="170" t="s">
        <v>102</v>
      </c>
      <c r="IT4" s="195" t="str">
        <f>IR4</f>
        <v>Study System</v>
      </c>
      <c r="IU4" s="170" t="s">
        <v>102</v>
      </c>
      <c r="IV4" s="195" t="s">
        <v>103</v>
      </c>
      <c r="IW4" s="196" t="s">
        <v>104</v>
      </c>
      <c r="IX4" s="197"/>
      <c r="IY4" s="198"/>
      <c r="IZ4" s="197"/>
      <c r="JA4" s="171"/>
      <c r="JB4" s="199" t="s">
        <v>90</v>
      </c>
      <c r="JC4" s="200" t="s">
        <v>95</v>
      </c>
      <c r="JD4" s="200" t="s">
        <v>96</v>
      </c>
      <c r="JE4" s="171" t="str">
        <f>IN4</f>
        <v>Study System</v>
      </c>
      <c r="JF4" s="201" t="s">
        <v>105</v>
      </c>
      <c r="JG4" s="202" t="str">
        <f>JE4</f>
        <v>Study System</v>
      </c>
      <c r="JH4" s="201" t="s">
        <v>106</v>
      </c>
      <c r="JI4" s="202" t="str">
        <f>JE4</f>
        <v>Study System</v>
      </c>
      <c r="JJ4" s="201" t="s">
        <v>107</v>
      </c>
      <c r="JK4" s="202" t="str">
        <f>JI4</f>
        <v>Study System</v>
      </c>
      <c r="JL4" s="201" t="s">
        <v>108</v>
      </c>
      <c r="JM4" s="202" t="str">
        <f>JK4</f>
        <v>Study System</v>
      </c>
      <c r="JN4" s="201" t="s">
        <v>109</v>
      </c>
      <c r="JO4" s="202" t="str">
        <f>JM4</f>
        <v>Study System</v>
      </c>
      <c r="JP4" s="201" t="s">
        <v>110</v>
      </c>
      <c r="JQ4" s="202" t="str">
        <f>JK4</f>
        <v>Study System</v>
      </c>
      <c r="JR4" s="201" t="s">
        <v>111</v>
      </c>
      <c r="JS4" s="202" t="str">
        <f>JQ4</f>
        <v>Study System</v>
      </c>
      <c r="JT4" s="201" t="s">
        <v>112</v>
      </c>
      <c r="JU4" s="202" t="s">
        <v>113</v>
      </c>
      <c r="JV4" s="203" t="s">
        <v>114</v>
      </c>
      <c r="JW4" s="203" t="s">
        <v>115</v>
      </c>
      <c r="JX4" s="197"/>
      <c r="JY4" s="198"/>
      <c r="JZ4" s="204"/>
      <c r="KA4" s="205"/>
      <c r="KB4" s="150" t="s">
        <v>90</v>
      </c>
      <c r="KC4" s="206" t="s">
        <v>116</v>
      </c>
      <c r="KD4" s="206" t="s">
        <v>117</v>
      </c>
      <c r="KE4" s="206" t="s">
        <v>118</v>
      </c>
      <c r="KF4" s="206" t="s">
        <v>119</v>
      </c>
      <c r="KG4" s="206" t="s">
        <v>95</v>
      </c>
      <c r="KH4" s="206" t="s">
        <v>96</v>
      </c>
      <c r="KI4" s="150" t="s">
        <v>120</v>
      </c>
      <c r="KJ4" s="206" t="s">
        <v>121</v>
      </c>
      <c r="KK4" s="138"/>
      <c r="KL4" s="141"/>
      <c r="KM4" s="207"/>
      <c r="KN4" s="160"/>
      <c r="KO4" s="161" t="s">
        <v>90</v>
      </c>
      <c r="KP4" s="194" t="str">
        <f>KJ4</f>
        <v>FY Quarter</v>
      </c>
      <c r="KQ4" s="194" t="str">
        <f>KI4</f>
        <v>Total System Ratio</v>
      </c>
      <c r="KR4" s="195" t="s">
        <v>27</v>
      </c>
      <c r="KS4" s="170" t="s">
        <v>122</v>
      </c>
      <c r="KT4" s="195" t="s">
        <v>27</v>
      </c>
      <c r="KU4" s="170" t="str">
        <f>LV4</f>
        <v>Target Year</v>
      </c>
      <c r="KV4" s="195" t="str">
        <f>KT4</f>
        <v>Total System</v>
      </c>
      <c r="KW4" s="170" t="str">
        <f>KU4</f>
        <v>Target Year</v>
      </c>
      <c r="KX4" s="196" t="s">
        <v>27</v>
      </c>
      <c r="KY4" s="196" t="s">
        <v>122</v>
      </c>
      <c r="KZ4" s="195" t="s">
        <v>123</v>
      </c>
      <c r="LA4" s="196" t="s">
        <v>124</v>
      </c>
      <c r="LB4" s="207"/>
      <c r="LC4" s="208"/>
      <c r="LD4" s="207"/>
      <c r="LE4" s="171"/>
      <c r="LF4" s="193" t="s">
        <v>125</v>
      </c>
      <c r="LG4" s="209" t="s">
        <v>95</v>
      </c>
      <c r="LH4" s="194" t="s">
        <v>96</v>
      </c>
      <c r="LI4" s="195" t="s">
        <v>126</v>
      </c>
      <c r="LJ4" s="170" t="s">
        <v>122</v>
      </c>
      <c r="LK4" s="195" t="s">
        <v>126</v>
      </c>
      <c r="LL4" s="170" t="str">
        <f>LJ4</f>
        <v>Target Year</v>
      </c>
      <c r="LM4" s="195" t="s">
        <v>126</v>
      </c>
      <c r="LN4" s="170" t="str">
        <f>LL4</f>
        <v>Target Year</v>
      </c>
      <c r="LO4" s="195" t="s">
        <v>126</v>
      </c>
      <c r="LP4" s="170" t="str">
        <f>LN4</f>
        <v>Target Year</v>
      </c>
      <c r="LQ4" s="195" t="s">
        <v>127</v>
      </c>
      <c r="LR4" s="170" t="str">
        <f>LN4</f>
        <v>Target Year</v>
      </c>
      <c r="LS4" s="195" t="s">
        <v>127</v>
      </c>
      <c r="LT4" s="170" t="str">
        <f>LP4</f>
        <v>Target Year</v>
      </c>
      <c r="LU4" s="195" t="s">
        <v>127</v>
      </c>
      <c r="LV4" s="170" t="str">
        <f>LP4</f>
        <v>Target Year</v>
      </c>
      <c r="LW4" s="195" t="s">
        <v>127</v>
      </c>
      <c r="LX4" s="170" t="str">
        <f>LV4</f>
        <v>Target Year</v>
      </c>
      <c r="LY4" s="195" t="s">
        <v>27</v>
      </c>
      <c r="LZ4" s="196" t="s">
        <v>442</v>
      </c>
      <c r="MA4" s="210"/>
      <c r="MB4" s="211"/>
      <c r="MC4" s="153"/>
      <c r="MD4" s="171"/>
      <c r="ME4" s="165" t="s">
        <v>90</v>
      </c>
      <c r="MF4" s="195" t="s">
        <v>100</v>
      </c>
      <c r="MG4" s="165" t="s">
        <v>27</v>
      </c>
      <c r="MH4" s="170" t="s">
        <v>122</v>
      </c>
      <c r="MI4" s="195" t="s">
        <v>100</v>
      </c>
      <c r="MJ4" s="165" t="s">
        <v>27</v>
      </c>
      <c r="MK4" s="170" t="s">
        <v>122</v>
      </c>
      <c r="ML4" s="195" t="s">
        <v>100</v>
      </c>
      <c r="MM4" s="165" t="s">
        <v>27</v>
      </c>
      <c r="MN4" s="170" t="s">
        <v>122</v>
      </c>
      <c r="MO4" s="146"/>
      <c r="MP4" s="157"/>
      <c r="MQ4" s="146"/>
      <c r="MR4" s="165"/>
      <c r="MS4" s="165" t="s">
        <v>128</v>
      </c>
      <c r="MT4" s="165" t="s">
        <v>129</v>
      </c>
      <c r="MU4" s="146"/>
      <c r="MV4" s="157"/>
      <c r="MW4" s="146"/>
      <c r="MX4" s="147"/>
      <c r="MY4" s="148"/>
      <c r="MZ4" s="983" t="s">
        <v>130</v>
      </c>
      <c r="NA4" s="983"/>
      <c r="NB4" s="898"/>
      <c r="NC4" s="982" t="s">
        <v>131</v>
      </c>
      <c r="ND4" s="983"/>
      <c r="NE4" s="146"/>
      <c r="NF4" s="157"/>
      <c r="NG4" s="146"/>
      <c r="NH4" s="147"/>
      <c r="NI4" s="212"/>
      <c r="NJ4" s="898" t="s">
        <v>132</v>
      </c>
      <c r="NK4" s="212" t="s">
        <v>133</v>
      </c>
      <c r="NL4" s="898" t="s">
        <v>134</v>
      </c>
      <c r="NM4" s="898" t="s">
        <v>134</v>
      </c>
      <c r="NN4" s="146"/>
      <c r="NO4" s="157"/>
      <c r="NP4" s="146"/>
      <c r="NQ4" s="213"/>
      <c r="NR4" s="213"/>
      <c r="NS4" s="213"/>
      <c r="NT4" s="213"/>
      <c r="NU4" s="213"/>
      <c r="NV4" s="213"/>
      <c r="NW4" s="213"/>
    </row>
    <row r="5" spans="2:387" ht="21" customHeight="1" x14ac:dyDescent="0.3">
      <c r="B5" s="215" t="s">
        <v>135</v>
      </c>
      <c r="C5" s="216"/>
      <c r="D5" s="217"/>
      <c r="E5" s="218"/>
      <c r="F5" s="219" t="s">
        <v>136</v>
      </c>
      <c r="G5" s="220" t="s">
        <v>137</v>
      </c>
      <c r="H5" s="221" t="s">
        <v>138</v>
      </c>
      <c r="I5" s="215" t="s">
        <v>139</v>
      </c>
      <c r="J5" s="220" t="s">
        <v>140</v>
      </c>
      <c r="K5" s="219" t="s">
        <v>141</v>
      </c>
      <c r="L5" s="222" t="s">
        <v>142</v>
      </c>
      <c r="M5" s="220" t="s">
        <v>143</v>
      </c>
      <c r="N5" s="219" t="s">
        <v>144</v>
      </c>
      <c r="O5" s="222" t="s">
        <v>145</v>
      </c>
      <c r="P5" s="220" t="s">
        <v>146</v>
      </c>
      <c r="Q5" s="223" t="s">
        <v>147</v>
      </c>
      <c r="R5" s="215" t="s">
        <v>148</v>
      </c>
      <c r="S5" s="224"/>
      <c r="T5" s="225"/>
      <c r="U5" s="214"/>
      <c r="V5" s="226" t="s">
        <v>135</v>
      </c>
      <c r="W5" s="227" t="s">
        <v>136</v>
      </c>
      <c r="X5" s="226" t="s">
        <v>137</v>
      </c>
      <c r="Y5" s="228" t="s">
        <v>149</v>
      </c>
      <c r="Z5" s="226" t="s">
        <v>139</v>
      </c>
      <c r="AA5" s="226" t="s">
        <v>140</v>
      </c>
      <c r="AB5" s="207"/>
      <c r="AC5" s="229"/>
      <c r="AD5" s="225"/>
      <c r="AE5" s="214"/>
      <c r="AF5" s="226" t="s">
        <v>135</v>
      </c>
      <c r="AG5" s="227" t="s">
        <v>136</v>
      </c>
      <c r="AH5" s="226" t="s">
        <v>137</v>
      </c>
      <c r="AI5" s="228" t="s">
        <v>149</v>
      </c>
      <c r="AJ5" s="226" t="s">
        <v>139</v>
      </c>
      <c r="AK5" s="214"/>
      <c r="AL5" s="230"/>
      <c r="AM5" s="214"/>
      <c r="AN5" s="226" t="s">
        <v>135</v>
      </c>
      <c r="AO5" s="231"/>
      <c r="AP5" s="232"/>
      <c r="AQ5" s="232"/>
      <c r="AR5" s="233"/>
      <c r="AS5" s="226" t="s">
        <v>136</v>
      </c>
      <c r="AT5" s="226" t="s">
        <v>137</v>
      </c>
      <c r="AU5" s="226"/>
      <c r="AV5" s="226">
        <v>0</v>
      </c>
      <c r="AW5" s="226" t="s">
        <v>137</v>
      </c>
      <c r="AX5" s="226" t="s">
        <v>149</v>
      </c>
      <c r="AY5" s="226"/>
      <c r="AZ5" s="226" t="s">
        <v>139</v>
      </c>
      <c r="BA5" s="226" t="s">
        <v>140</v>
      </c>
      <c r="BB5" s="226" t="s">
        <v>141</v>
      </c>
      <c r="BC5" s="226"/>
      <c r="BD5" s="226" t="s">
        <v>142</v>
      </c>
      <c r="BE5" s="226" t="s">
        <v>143</v>
      </c>
      <c r="BF5" s="226" t="s">
        <v>144</v>
      </c>
      <c r="BG5" s="226"/>
      <c r="BH5" s="226" t="s">
        <v>145</v>
      </c>
      <c r="BI5" s="226" t="s">
        <v>146</v>
      </c>
      <c r="BJ5" s="226" t="s">
        <v>147</v>
      </c>
      <c r="BK5" s="226"/>
      <c r="BL5" s="226" t="s">
        <v>148</v>
      </c>
      <c r="BM5" s="226" t="s">
        <v>150</v>
      </c>
      <c r="BN5" s="226" t="s">
        <v>151</v>
      </c>
      <c r="BO5" s="226"/>
      <c r="BP5" s="226" t="s">
        <v>152</v>
      </c>
      <c r="BQ5" s="226" t="s">
        <v>153</v>
      </c>
      <c r="BR5" s="226" t="s">
        <v>154</v>
      </c>
      <c r="BS5" s="226"/>
      <c r="BT5" s="226" t="s">
        <v>155</v>
      </c>
      <c r="BU5" s="226" t="s">
        <v>156</v>
      </c>
      <c r="BV5" s="226" t="s">
        <v>157</v>
      </c>
      <c r="BW5" s="227" t="s">
        <v>136</v>
      </c>
      <c r="BX5" s="226" t="s">
        <v>137</v>
      </c>
      <c r="BY5" s="226" t="s">
        <v>138</v>
      </c>
      <c r="BZ5" s="227" t="s">
        <v>136</v>
      </c>
      <c r="CA5" s="226" t="s">
        <v>137</v>
      </c>
      <c r="CB5" s="226" t="s">
        <v>138</v>
      </c>
      <c r="CC5" s="234" t="s">
        <v>139</v>
      </c>
      <c r="CD5" s="226" t="s">
        <v>140</v>
      </c>
      <c r="CE5" s="226" t="s">
        <v>141</v>
      </c>
      <c r="CF5" s="235" t="s">
        <v>142</v>
      </c>
      <c r="CG5" s="226" t="s">
        <v>143</v>
      </c>
      <c r="CH5" s="214"/>
      <c r="CI5" s="225"/>
      <c r="CJ5" s="214"/>
      <c r="CK5" s="226" t="s">
        <v>135</v>
      </c>
      <c r="CL5" s="236"/>
      <c r="CM5" s="226" t="s">
        <v>136</v>
      </c>
      <c r="CN5" s="226" t="s">
        <v>137</v>
      </c>
      <c r="CO5" s="226" t="s">
        <v>149</v>
      </c>
      <c r="CP5" s="237" t="s">
        <v>139</v>
      </c>
      <c r="CQ5" s="226" t="s">
        <v>140</v>
      </c>
      <c r="CR5" s="226" t="s">
        <v>141</v>
      </c>
      <c r="CS5" s="226" t="s">
        <v>142</v>
      </c>
      <c r="CT5" s="226" t="s">
        <v>143</v>
      </c>
      <c r="CU5" s="238"/>
      <c r="CV5" s="186"/>
      <c r="CW5" s="214"/>
      <c r="CX5" s="226" t="s">
        <v>135</v>
      </c>
      <c r="CY5" s="239"/>
      <c r="CZ5" s="226" t="s">
        <v>136</v>
      </c>
      <c r="DA5" s="240" t="s">
        <v>137</v>
      </c>
      <c r="DB5" s="226" t="s">
        <v>149</v>
      </c>
      <c r="DC5" s="241" t="s">
        <v>139</v>
      </c>
      <c r="DD5" s="241" t="s">
        <v>140</v>
      </c>
      <c r="DE5" s="214"/>
      <c r="DF5" s="186"/>
      <c r="DG5" s="214"/>
      <c r="DH5" s="226" t="s">
        <v>135</v>
      </c>
      <c r="DI5" s="239"/>
      <c r="DJ5" s="226" t="s">
        <v>136</v>
      </c>
      <c r="DK5" s="240" t="s">
        <v>137</v>
      </c>
      <c r="DL5" s="226" t="s">
        <v>149</v>
      </c>
      <c r="DM5" s="241" t="s">
        <v>139</v>
      </c>
      <c r="DN5" s="214"/>
      <c r="DO5" s="225"/>
      <c r="DP5" s="214"/>
      <c r="DQ5" s="226" t="s">
        <v>135</v>
      </c>
      <c r="DR5" s="242"/>
      <c r="DS5" s="241" t="s">
        <v>136</v>
      </c>
      <c r="DT5" s="241" t="s">
        <v>137</v>
      </c>
      <c r="DU5" s="241" t="s">
        <v>149</v>
      </c>
      <c r="DV5" s="241" t="s">
        <v>139</v>
      </c>
      <c r="DW5" s="243" t="s">
        <v>140</v>
      </c>
      <c r="DX5" s="241" t="s">
        <v>141</v>
      </c>
      <c r="DY5" s="241" t="s">
        <v>142</v>
      </c>
      <c r="DZ5" s="241" t="s">
        <v>143</v>
      </c>
      <c r="EA5" s="214"/>
      <c r="EB5" s="225"/>
      <c r="EC5" s="214"/>
      <c r="ED5" s="226" t="s">
        <v>135</v>
      </c>
      <c r="EE5" s="236"/>
      <c r="EF5" s="226" t="s">
        <v>136</v>
      </c>
      <c r="EG5" s="226" t="s">
        <v>137</v>
      </c>
      <c r="EH5" s="226" t="s">
        <v>149</v>
      </c>
      <c r="EI5" s="237" t="s">
        <v>139</v>
      </c>
      <c r="EJ5" s="226" t="s">
        <v>140</v>
      </c>
      <c r="EK5" s="226" t="s">
        <v>141</v>
      </c>
      <c r="EL5" s="226" t="s">
        <v>142</v>
      </c>
      <c r="EM5" s="226" t="s">
        <v>143</v>
      </c>
      <c r="EN5" s="244"/>
      <c r="EO5" s="245"/>
      <c r="EP5" s="214"/>
      <c r="EQ5" s="226" t="s">
        <v>135</v>
      </c>
      <c r="ER5" s="236"/>
      <c r="ES5" s="226" t="s">
        <v>136</v>
      </c>
      <c r="ET5" s="226" t="s">
        <v>137</v>
      </c>
      <c r="EU5" s="226" t="s">
        <v>149</v>
      </c>
      <c r="EV5" s="237" t="s">
        <v>139</v>
      </c>
      <c r="EW5" s="226" t="s">
        <v>140</v>
      </c>
      <c r="EX5" s="226" t="s">
        <v>141</v>
      </c>
      <c r="EY5" s="226" t="s">
        <v>142</v>
      </c>
      <c r="EZ5" s="237" t="s">
        <v>143</v>
      </c>
      <c r="FA5" s="226" t="s">
        <v>144</v>
      </c>
      <c r="FB5" s="226" t="s">
        <v>145</v>
      </c>
      <c r="FC5" s="226" t="s">
        <v>146</v>
      </c>
      <c r="FD5" s="244"/>
      <c r="FE5" s="245"/>
      <c r="FF5" s="214"/>
      <c r="FG5" s="226" t="s">
        <v>135</v>
      </c>
      <c r="FH5" s="232"/>
      <c r="FI5" s="246"/>
      <c r="FJ5" s="226" t="s">
        <v>136</v>
      </c>
      <c r="FK5" s="226" t="s">
        <v>137</v>
      </c>
      <c r="FL5" s="226" t="s">
        <v>149</v>
      </c>
      <c r="FM5" s="237" t="s">
        <v>139</v>
      </c>
      <c r="FN5" s="226" t="s">
        <v>140</v>
      </c>
      <c r="FO5" s="226" t="s">
        <v>141</v>
      </c>
      <c r="FP5" s="226" t="s">
        <v>142</v>
      </c>
      <c r="FQ5" s="226" t="s">
        <v>143</v>
      </c>
      <c r="FR5" s="226" t="s">
        <v>144</v>
      </c>
      <c r="FS5" s="244"/>
      <c r="FT5" s="186"/>
      <c r="FU5" s="214"/>
      <c r="FV5" s="226" t="s">
        <v>135</v>
      </c>
      <c r="FW5" s="247"/>
      <c r="FX5" s="226" t="s">
        <v>136</v>
      </c>
      <c r="FY5" s="226" t="s">
        <v>137</v>
      </c>
      <c r="FZ5" s="226" t="s">
        <v>149</v>
      </c>
      <c r="GA5" s="237" t="s">
        <v>139</v>
      </c>
      <c r="GB5" s="226" t="s">
        <v>140</v>
      </c>
      <c r="GC5" s="226" t="s">
        <v>141</v>
      </c>
      <c r="GD5" s="226" t="s">
        <v>142</v>
      </c>
      <c r="GE5" s="226" t="s">
        <v>143</v>
      </c>
      <c r="GF5" s="248"/>
      <c r="GG5" s="225"/>
      <c r="GH5" s="214"/>
      <c r="GI5" s="226" t="s">
        <v>135</v>
      </c>
      <c r="GJ5" s="247"/>
      <c r="GK5" s="226" t="s">
        <v>136</v>
      </c>
      <c r="GL5" s="226" t="s">
        <v>137</v>
      </c>
      <c r="GM5" s="226" t="s">
        <v>149</v>
      </c>
      <c r="GN5" s="237" t="s">
        <v>139</v>
      </c>
      <c r="GO5" s="226" t="s">
        <v>140</v>
      </c>
      <c r="GP5" s="226" t="s">
        <v>141</v>
      </c>
      <c r="GQ5" s="226" t="s">
        <v>142</v>
      </c>
      <c r="GR5" s="226" t="s">
        <v>143</v>
      </c>
      <c r="GS5" s="248"/>
      <c r="GT5" s="225"/>
      <c r="GU5" s="214"/>
      <c r="GV5" s="226" t="s">
        <v>135</v>
      </c>
      <c r="GW5" s="247"/>
      <c r="GX5" s="226" t="s">
        <v>136</v>
      </c>
      <c r="GY5" s="226" t="s">
        <v>137</v>
      </c>
      <c r="GZ5" s="226" t="s">
        <v>149</v>
      </c>
      <c r="HA5" s="237" t="s">
        <v>139</v>
      </c>
      <c r="HB5" s="226" t="s">
        <v>140</v>
      </c>
      <c r="HC5" s="226" t="s">
        <v>141</v>
      </c>
      <c r="HD5" s="226" t="s">
        <v>142</v>
      </c>
      <c r="HE5" s="226" t="s">
        <v>143</v>
      </c>
      <c r="HF5" s="248"/>
      <c r="HG5" s="225"/>
      <c r="HH5" s="214"/>
      <c r="HI5" s="226" t="s">
        <v>135</v>
      </c>
      <c r="HJ5" s="233"/>
      <c r="HK5" s="226" t="s">
        <v>136</v>
      </c>
      <c r="HL5" s="226" t="s">
        <v>137</v>
      </c>
      <c r="HM5" s="226" t="s">
        <v>149</v>
      </c>
      <c r="HN5" s="237" t="s">
        <v>139</v>
      </c>
      <c r="HO5" s="226" t="s">
        <v>140</v>
      </c>
      <c r="HP5" s="226" t="s">
        <v>141</v>
      </c>
      <c r="HQ5" s="226" t="s">
        <v>142</v>
      </c>
      <c r="HR5" s="226" t="s">
        <v>143</v>
      </c>
      <c r="HS5" s="214"/>
      <c r="HT5" s="225"/>
      <c r="HU5" s="214"/>
      <c r="HV5" s="214"/>
      <c r="HW5" s="249" t="s">
        <v>158</v>
      </c>
      <c r="HX5" s="226" t="s">
        <v>136</v>
      </c>
      <c r="HY5" s="226" t="s">
        <v>137</v>
      </c>
      <c r="HZ5" s="226" t="s">
        <v>149</v>
      </c>
      <c r="IA5" s="226" t="s">
        <v>139</v>
      </c>
      <c r="IB5" s="226" t="s">
        <v>140</v>
      </c>
      <c r="IC5" s="226" t="s">
        <v>141</v>
      </c>
      <c r="ID5" s="226" t="s">
        <v>142</v>
      </c>
      <c r="IE5" s="226" t="s">
        <v>143</v>
      </c>
      <c r="IF5" s="226" t="s">
        <v>144</v>
      </c>
      <c r="IG5" s="226" t="s">
        <v>145</v>
      </c>
      <c r="IH5" s="207"/>
      <c r="II5" s="135"/>
      <c r="IJ5" s="207"/>
      <c r="IK5" s="250" t="s">
        <v>135</v>
      </c>
      <c r="IL5" s="251" t="s">
        <v>136</v>
      </c>
      <c r="IM5" s="237" t="s">
        <v>137</v>
      </c>
      <c r="IN5" s="226" t="s">
        <v>149</v>
      </c>
      <c r="IO5" s="237" t="s">
        <v>139</v>
      </c>
      <c r="IP5" s="226" t="s">
        <v>140</v>
      </c>
      <c r="IQ5" s="237" t="s">
        <v>141</v>
      </c>
      <c r="IR5" s="226" t="s">
        <v>142</v>
      </c>
      <c r="IS5" s="237" t="s">
        <v>143</v>
      </c>
      <c r="IT5" s="226" t="s">
        <v>144</v>
      </c>
      <c r="IU5" s="226" t="s">
        <v>145</v>
      </c>
      <c r="IV5" s="226" t="s">
        <v>146</v>
      </c>
      <c r="IW5" s="226" t="s">
        <v>147</v>
      </c>
      <c r="IX5" s="207"/>
      <c r="IY5" s="208"/>
      <c r="IZ5" s="207"/>
      <c r="JA5" s="252" t="s">
        <v>158</v>
      </c>
      <c r="JB5" s="253" t="s">
        <v>136</v>
      </c>
      <c r="JC5" s="254" t="s">
        <v>137</v>
      </c>
      <c r="JD5" s="253" t="s">
        <v>149</v>
      </c>
      <c r="JE5" s="255" t="s">
        <v>139</v>
      </c>
      <c r="JF5" s="254" t="s">
        <v>140</v>
      </c>
      <c r="JG5" s="255" t="s">
        <v>141</v>
      </c>
      <c r="JH5" s="254" t="s">
        <v>142</v>
      </c>
      <c r="JI5" s="255" t="s">
        <v>143</v>
      </c>
      <c r="JJ5" s="254" t="s">
        <v>144</v>
      </c>
      <c r="JK5" s="255" t="s">
        <v>145</v>
      </c>
      <c r="JL5" s="254" t="s">
        <v>146</v>
      </c>
      <c r="JM5" s="255" t="s">
        <v>147</v>
      </c>
      <c r="JN5" s="254" t="s">
        <v>148</v>
      </c>
      <c r="JO5" s="255" t="s">
        <v>150</v>
      </c>
      <c r="JP5" s="254" t="s">
        <v>151</v>
      </c>
      <c r="JQ5" s="255" t="s">
        <v>152</v>
      </c>
      <c r="JR5" s="254" t="s">
        <v>153</v>
      </c>
      <c r="JS5" s="256" t="s">
        <v>159</v>
      </c>
      <c r="JT5" s="254" t="s">
        <v>155</v>
      </c>
      <c r="JU5" s="255" t="s">
        <v>156</v>
      </c>
      <c r="JV5" s="255" t="s">
        <v>157</v>
      </c>
      <c r="JW5" s="255" t="s">
        <v>160</v>
      </c>
      <c r="JX5" s="207"/>
      <c r="JY5" s="208"/>
      <c r="JZ5" s="101"/>
      <c r="KA5" s="249" t="s">
        <v>135</v>
      </c>
      <c r="KB5" s="226" t="s">
        <v>136</v>
      </c>
      <c r="KC5" s="226" t="s">
        <v>137</v>
      </c>
      <c r="KD5" s="226" t="s">
        <v>161</v>
      </c>
      <c r="KE5" s="226" t="s">
        <v>139</v>
      </c>
      <c r="KF5" s="226" t="s">
        <v>162</v>
      </c>
      <c r="KG5" s="226" t="s">
        <v>141</v>
      </c>
      <c r="KH5" s="226" t="s">
        <v>142</v>
      </c>
      <c r="KI5" s="226" t="s">
        <v>143</v>
      </c>
      <c r="KJ5" s="226" t="s">
        <v>144</v>
      </c>
      <c r="KK5" s="207"/>
      <c r="KL5" s="208"/>
      <c r="KM5" s="138"/>
      <c r="KN5" s="249" t="s">
        <v>135</v>
      </c>
      <c r="KO5" s="226" t="str">
        <f>KB5</f>
        <v>(a)</v>
      </c>
      <c r="KP5" s="226" t="s">
        <v>137</v>
      </c>
      <c r="KQ5" s="226" t="s">
        <v>161</v>
      </c>
      <c r="KR5" s="226" t="s">
        <v>139</v>
      </c>
      <c r="KS5" s="226" t="s">
        <v>162</v>
      </c>
      <c r="KT5" s="226" t="s">
        <v>141</v>
      </c>
      <c r="KU5" s="226" t="s">
        <v>142</v>
      </c>
      <c r="KV5" s="226" t="s">
        <v>143</v>
      </c>
      <c r="KW5" s="226" t="s">
        <v>144</v>
      </c>
      <c r="KX5" s="226" t="s">
        <v>145</v>
      </c>
      <c r="KY5" s="226" t="s">
        <v>146</v>
      </c>
      <c r="KZ5" s="226" t="s">
        <v>147</v>
      </c>
      <c r="LA5" s="226" t="s">
        <v>148</v>
      </c>
      <c r="LB5" s="138"/>
      <c r="LC5" s="141"/>
      <c r="LD5" s="138"/>
      <c r="LE5" s="257" t="s">
        <v>135</v>
      </c>
      <c r="LF5" s="251" t="s">
        <v>136</v>
      </c>
      <c r="LG5" s="251" t="s">
        <v>137</v>
      </c>
      <c r="LH5" s="251" t="s">
        <v>161</v>
      </c>
      <c r="LI5" s="226" t="s">
        <v>139</v>
      </c>
      <c r="LJ5" s="237" t="s">
        <v>162</v>
      </c>
      <c r="LK5" s="226" t="s">
        <v>141</v>
      </c>
      <c r="LL5" s="237" t="s">
        <v>142</v>
      </c>
      <c r="LM5" s="226" t="s">
        <v>143</v>
      </c>
      <c r="LN5" s="237" t="s">
        <v>144</v>
      </c>
      <c r="LO5" s="237" t="s">
        <v>145</v>
      </c>
      <c r="LP5" s="237" t="s">
        <v>146</v>
      </c>
      <c r="LQ5" s="226" t="s">
        <v>147</v>
      </c>
      <c r="LR5" s="237" t="s">
        <v>148</v>
      </c>
      <c r="LS5" s="226" t="s">
        <v>150</v>
      </c>
      <c r="LT5" s="237" t="s">
        <v>151</v>
      </c>
      <c r="LU5" s="226" t="s">
        <v>152</v>
      </c>
      <c r="LV5" s="237" t="s">
        <v>153</v>
      </c>
      <c r="LW5" s="226" t="s">
        <v>154</v>
      </c>
      <c r="LX5" s="237" t="s">
        <v>163</v>
      </c>
      <c r="LY5" s="226" t="s">
        <v>156</v>
      </c>
      <c r="LZ5" s="226" t="s">
        <v>157</v>
      </c>
      <c r="MA5" s="101"/>
      <c r="MB5" s="189"/>
      <c r="MC5" s="224"/>
      <c r="MD5" s="249" t="s">
        <v>158</v>
      </c>
      <c r="ME5" s="237" t="s">
        <v>136</v>
      </c>
      <c r="MF5" s="226" t="s">
        <v>137</v>
      </c>
      <c r="MG5" s="226" t="s">
        <v>161</v>
      </c>
      <c r="MH5" s="237" t="s">
        <v>139</v>
      </c>
      <c r="MI5" s="226" t="s">
        <v>162</v>
      </c>
      <c r="MJ5" s="226" t="s">
        <v>141</v>
      </c>
      <c r="MK5" s="237" t="s">
        <v>142</v>
      </c>
      <c r="ML5" s="226" t="s">
        <v>143</v>
      </c>
      <c r="MM5" s="226" t="s">
        <v>144</v>
      </c>
      <c r="MN5" s="226" t="s">
        <v>145</v>
      </c>
      <c r="MO5" s="214"/>
      <c r="MP5" s="230"/>
      <c r="MQ5" s="224"/>
      <c r="MR5" s="249" t="s">
        <v>135</v>
      </c>
      <c r="MS5" s="227" t="s">
        <v>136</v>
      </c>
      <c r="MT5" s="226" t="s">
        <v>137</v>
      </c>
      <c r="MU5" s="224"/>
      <c r="MV5" s="230"/>
      <c r="MW5" s="224"/>
      <c r="MX5" s="258"/>
      <c r="MY5" s="258"/>
      <c r="MZ5" s="259" t="s">
        <v>62</v>
      </c>
      <c r="NA5" s="260" t="s">
        <v>63</v>
      </c>
      <c r="NB5" s="261"/>
      <c r="NC5" s="262" t="s">
        <v>62</v>
      </c>
      <c r="ND5" s="260" t="s">
        <v>63</v>
      </c>
      <c r="NE5" s="214"/>
      <c r="NF5" s="230"/>
      <c r="NG5" s="224"/>
      <c r="NH5" s="258"/>
      <c r="NI5" s="258"/>
      <c r="NJ5" s="258"/>
      <c r="NK5" s="258"/>
      <c r="NL5" s="263" t="s">
        <v>164</v>
      </c>
      <c r="NM5" s="263" t="s">
        <v>165</v>
      </c>
      <c r="NN5" s="214"/>
      <c r="NO5" s="230"/>
      <c r="NP5" s="224"/>
      <c r="NQ5" s="264"/>
      <c r="NR5" s="264"/>
      <c r="NS5" s="264"/>
      <c r="NT5" s="264"/>
      <c r="NU5" s="264"/>
      <c r="NV5" s="264"/>
      <c r="NW5" s="264"/>
    </row>
    <row r="6" spans="2:387" x14ac:dyDescent="0.3">
      <c r="B6" s="265">
        <v>1</v>
      </c>
      <c r="C6" s="266" t="s">
        <v>166</v>
      </c>
      <c r="D6" s="267"/>
      <c r="E6" s="268"/>
      <c r="F6" s="269"/>
      <c r="G6" s="270"/>
      <c r="H6" s="271"/>
      <c r="I6" s="272"/>
      <c r="J6" s="270"/>
      <c r="K6" s="269"/>
      <c r="L6" s="273"/>
      <c r="M6" s="270"/>
      <c r="N6" s="269"/>
      <c r="O6" s="273"/>
      <c r="P6" s="270"/>
      <c r="Q6" s="274"/>
      <c r="R6" s="272"/>
      <c r="V6" s="275"/>
      <c r="W6" s="276" t="s">
        <v>25</v>
      </c>
      <c r="X6" s="277"/>
      <c r="Y6" s="278"/>
      <c r="Z6" s="278"/>
      <c r="AA6" s="278"/>
      <c r="AB6" s="279"/>
      <c r="AC6" s="280"/>
      <c r="AF6" s="281"/>
      <c r="AG6" s="282" t="s">
        <v>25</v>
      </c>
      <c r="AH6" s="97"/>
      <c r="AI6" s="97"/>
      <c r="AJ6" s="97"/>
      <c r="AN6" s="283">
        <v>1</v>
      </c>
      <c r="AO6" s="284"/>
      <c r="AP6" s="285" t="s">
        <v>166</v>
      </c>
      <c r="AQ6" s="281"/>
      <c r="AR6" s="28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287"/>
      <c r="CD6" s="97"/>
      <c r="CE6" s="97"/>
      <c r="CF6" s="287"/>
      <c r="CG6" s="97"/>
      <c r="CK6" s="283">
        <v>1</v>
      </c>
      <c r="CL6" s="288" t="s">
        <v>69</v>
      </c>
      <c r="CM6" s="289">
        <v>227847.12639999998</v>
      </c>
      <c r="CN6" s="17">
        <v>4426873.1057000002</v>
      </c>
      <c r="CO6" s="17">
        <v>573783.94040000008</v>
      </c>
      <c r="CP6" s="290">
        <f>CO6+CN6</f>
        <v>5000657.0460999999</v>
      </c>
      <c r="CQ6" s="289">
        <v>230065.55064242429</v>
      </c>
      <c r="CR6" s="17">
        <v>4467617.8590333341</v>
      </c>
      <c r="CS6" s="17">
        <v>444149.88200351072</v>
      </c>
      <c r="CT6" s="17">
        <f>CS6+CR6</f>
        <v>4911767.7410368444</v>
      </c>
      <c r="CU6" s="291"/>
      <c r="CV6" s="186"/>
      <c r="CX6" s="283">
        <v>1</v>
      </c>
      <c r="CY6" s="292" t="s">
        <v>69</v>
      </c>
      <c r="CZ6" s="293">
        <v>27072.303499999998</v>
      </c>
      <c r="DA6" s="290">
        <v>571445.50265000004</v>
      </c>
      <c r="DB6" s="293">
        <v>27072.303499999998</v>
      </c>
      <c r="DC6" s="17">
        <v>571445.50264999992</v>
      </c>
      <c r="DD6" s="17">
        <v>571445.50264999992</v>
      </c>
      <c r="DF6" s="186"/>
      <c r="DH6" s="283">
        <v>1</v>
      </c>
      <c r="DI6" s="292" t="s">
        <v>69</v>
      </c>
      <c r="DJ6" s="293">
        <v>125693.06199999999</v>
      </c>
      <c r="DK6" s="290">
        <v>3148278.1857500002</v>
      </c>
      <c r="DL6" s="293">
        <v>127299.97109090912</v>
      </c>
      <c r="DM6" s="17">
        <v>3327431.0126313376</v>
      </c>
      <c r="DQ6" s="283">
        <v>1</v>
      </c>
      <c r="DR6" s="294" t="s">
        <v>167</v>
      </c>
      <c r="DS6" s="295">
        <v>240234</v>
      </c>
      <c r="DT6" s="295">
        <v>283539</v>
      </c>
      <c r="DU6" s="295">
        <v>365317</v>
      </c>
      <c r="DV6" s="295">
        <f>SUM(DS6:DU6)</f>
        <v>889090</v>
      </c>
      <c r="DW6" s="296">
        <v>228850</v>
      </c>
      <c r="DX6" s="295">
        <v>279164</v>
      </c>
      <c r="DY6" s="295">
        <v>340128</v>
      </c>
      <c r="DZ6" s="295">
        <v>848142</v>
      </c>
      <c r="ED6" s="283">
        <v>1</v>
      </c>
      <c r="EE6" s="286" t="s">
        <v>168</v>
      </c>
      <c r="EF6" s="17">
        <v>287644.26399999997</v>
      </c>
      <c r="EG6" s="17">
        <v>414688.32799999998</v>
      </c>
      <c r="EH6" s="17">
        <v>382662.99469999998</v>
      </c>
      <c r="EI6" s="290">
        <f>SUM(EF6:EH6)</f>
        <v>1084995.5866999999</v>
      </c>
      <c r="EJ6" s="17">
        <v>278075.03116146935</v>
      </c>
      <c r="EK6" s="17">
        <v>422093.25051200658</v>
      </c>
      <c r="EL6" s="17">
        <v>387861.38685864961</v>
      </c>
      <c r="EM6" s="17">
        <f>SUM(EJ6:EL6)</f>
        <v>1088029.6685321254</v>
      </c>
      <c r="EN6" s="103"/>
      <c r="EO6" s="189"/>
      <c r="EQ6" s="283">
        <v>1</v>
      </c>
      <c r="ER6" s="286" t="s">
        <v>168</v>
      </c>
      <c r="ES6" s="17">
        <v>213728.13600000003</v>
      </c>
      <c r="ET6" s="17">
        <v>105449.12000000001</v>
      </c>
      <c r="EU6" s="17">
        <v>103689.106</v>
      </c>
      <c r="EV6" s="290">
        <f>SUM(ES6:EU6)</f>
        <v>422866.36200000008</v>
      </c>
      <c r="EW6" s="17">
        <v>198637.33426570735</v>
      </c>
      <c r="EX6" s="17">
        <v>103141.52581775701</v>
      </c>
      <c r="EY6" s="17">
        <v>104277.30279141104</v>
      </c>
      <c r="EZ6" s="290">
        <f>SUM(EW6:EY6)</f>
        <v>406056.16287487542</v>
      </c>
      <c r="FA6" s="17">
        <f t="shared" ref="FA6:FA7" si="0">(EZ6/$EZ$9)*$FA$9</f>
        <v>290034.66992797703</v>
      </c>
      <c r="FB6" s="17">
        <f>(EZ6/$EZ$9)*$FB$9</f>
        <v>116155.68924426479</v>
      </c>
      <c r="FC6" s="17">
        <f>SUM(FA6:FB6)</f>
        <v>406190.35917224182</v>
      </c>
      <c r="FD6" s="103"/>
      <c r="FE6" s="189"/>
      <c r="FG6" s="283">
        <v>1</v>
      </c>
      <c r="FH6" s="285" t="s">
        <v>169</v>
      </c>
      <c r="FI6" s="297"/>
      <c r="FJ6" s="298"/>
      <c r="FK6" s="298"/>
      <c r="FL6" s="298"/>
      <c r="FM6" s="299"/>
      <c r="FN6" s="298"/>
      <c r="FO6" s="298"/>
      <c r="FP6" s="298"/>
      <c r="FQ6" s="298"/>
      <c r="FR6" s="298"/>
      <c r="FS6" s="103"/>
      <c r="FT6" s="189"/>
      <c r="FV6" s="283">
        <v>1</v>
      </c>
      <c r="FW6" s="286" t="s">
        <v>170</v>
      </c>
      <c r="FX6" s="17">
        <v>27056.9</v>
      </c>
      <c r="FY6" s="17">
        <v>10937</v>
      </c>
      <c r="FZ6" s="17">
        <v>40000</v>
      </c>
      <c r="GA6" s="290">
        <v>77993.899999999994</v>
      </c>
      <c r="GB6" s="17">
        <v>0</v>
      </c>
      <c r="GC6" s="17">
        <v>0</v>
      </c>
      <c r="GD6" s="17">
        <v>0</v>
      </c>
      <c r="GE6" s="290">
        <f t="shared" ref="GE6:GE13" si="1">SUM(GB6:GD6)</f>
        <v>0</v>
      </c>
      <c r="GF6" s="300"/>
      <c r="GG6" s="301"/>
      <c r="GI6" s="283">
        <v>1</v>
      </c>
      <c r="GJ6" s="97" t="s">
        <v>171</v>
      </c>
      <c r="GK6" s="17">
        <v>0</v>
      </c>
      <c r="GL6" s="17">
        <v>0</v>
      </c>
      <c r="GM6" s="17">
        <v>0</v>
      </c>
      <c r="GN6" s="290">
        <f t="shared" ref="GN6:GN11" si="2">SUM(GK6:GM6)</f>
        <v>0</v>
      </c>
      <c r="GO6" s="17">
        <v>0</v>
      </c>
      <c r="GP6" s="17">
        <v>0</v>
      </c>
      <c r="GQ6" s="17">
        <v>0</v>
      </c>
      <c r="GR6" s="290">
        <f t="shared" ref="GR6:GR10" si="3">SUM(GO6:GQ6)</f>
        <v>0</v>
      </c>
      <c r="GS6" s="300"/>
      <c r="GT6" s="301"/>
      <c r="GV6" s="283">
        <v>1</v>
      </c>
      <c r="GW6" s="286" t="s">
        <v>172</v>
      </c>
      <c r="GX6" s="17">
        <v>1200</v>
      </c>
      <c r="GY6" s="17">
        <v>5864.05</v>
      </c>
      <c r="GZ6" s="17">
        <v>7336.6900000000005</v>
      </c>
      <c r="HA6" s="290">
        <f t="shared" ref="HA6:HA11" si="4">SUM(GX6:GZ6)</f>
        <v>14400.740000000002</v>
      </c>
      <c r="HB6" s="17">
        <v>1200</v>
      </c>
      <c r="HC6" s="17">
        <v>5864.05</v>
      </c>
      <c r="HD6" s="17">
        <v>7336.6899999999987</v>
      </c>
      <c r="HE6" s="17">
        <f>SUM(HB6:HD6)</f>
        <v>14400.739999999998</v>
      </c>
      <c r="HF6" s="300"/>
      <c r="HG6" s="301"/>
      <c r="HI6" s="283">
        <v>1</v>
      </c>
      <c r="HJ6" s="302" t="s">
        <v>173</v>
      </c>
      <c r="HK6" s="303">
        <v>290799436</v>
      </c>
      <c r="HL6" s="303">
        <v>621968266</v>
      </c>
      <c r="HM6" s="303">
        <v>1165621094</v>
      </c>
      <c r="HN6" s="304">
        <f>SUM(HK6:HM6)</f>
        <v>2078388796</v>
      </c>
      <c r="HO6" s="295">
        <v>294268079.81818181</v>
      </c>
      <c r="HP6" s="295">
        <v>623505438.20000005</v>
      </c>
      <c r="HQ6" s="295">
        <v>1165621094</v>
      </c>
      <c r="HR6" s="295">
        <f>SUM(HO6:HQ6)</f>
        <v>2083394612.0181818</v>
      </c>
      <c r="HS6" s="305"/>
      <c r="HW6" s="283">
        <v>1</v>
      </c>
      <c r="HX6" s="306">
        <v>1</v>
      </c>
      <c r="HY6" s="306">
        <v>10</v>
      </c>
      <c r="HZ6" s="306">
        <v>22</v>
      </c>
      <c r="IA6" s="307">
        <v>11526295</v>
      </c>
      <c r="IB6" s="308">
        <v>18846113</v>
      </c>
      <c r="IC6" s="309">
        <f t="shared" ref="IC6:IC26" si="5">HZ6/HY6</f>
        <v>2.2000000000000002</v>
      </c>
      <c r="ID6" s="309">
        <f t="shared" ref="ID6:ID26" si="6">IB6/IA6</f>
        <v>1.6350538486131059</v>
      </c>
      <c r="IE6" s="310">
        <v>1</v>
      </c>
      <c r="IF6" s="310">
        <v>0</v>
      </c>
      <c r="IG6" s="310">
        <v>0</v>
      </c>
      <c r="II6" s="141"/>
      <c r="IK6" s="311">
        <v>1</v>
      </c>
      <c r="IL6" s="312">
        <v>1</v>
      </c>
      <c r="IM6" s="313">
        <f t="shared" ref="IM6:IM26" si="7">ID6</f>
        <v>1.6350538486131059</v>
      </c>
      <c r="IN6" s="17">
        <v>0</v>
      </c>
      <c r="IO6" s="290">
        <f>IM6*IN6</f>
        <v>0</v>
      </c>
      <c r="IP6" s="17">
        <v>1254545</v>
      </c>
      <c r="IQ6" s="290">
        <v>1917604</v>
      </c>
      <c r="IR6" s="17">
        <v>513544.35600000009</v>
      </c>
      <c r="IS6" s="290">
        <v>776037</v>
      </c>
      <c r="IT6" s="17">
        <v>170395.60081036729</v>
      </c>
      <c r="IU6" s="17">
        <v>278605.98289173353</v>
      </c>
      <c r="IV6" s="17">
        <f>SUM(IN6,IR6,IT6)</f>
        <v>683939.95681036741</v>
      </c>
      <c r="IW6" s="17">
        <f>SUM(IO6,IS6,IU6)</f>
        <v>1054642.9828917335</v>
      </c>
      <c r="IX6" s="314"/>
      <c r="IY6" s="315"/>
      <c r="IZ6" s="314"/>
      <c r="JA6" s="316">
        <v>1</v>
      </c>
      <c r="JB6" s="317">
        <v>1</v>
      </c>
      <c r="JC6" s="318">
        <f t="shared" ref="JC6:JD25" si="8">IC6</f>
        <v>2.2000000000000002</v>
      </c>
      <c r="JD6" s="319">
        <f t="shared" si="8"/>
        <v>1.6350538486131059</v>
      </c>
      <c r="JE6" s="17">
        <v>218995.37041548945</v>
      </c>
      <c r="JF6" s="290">
        <f>JE6*$JD6</f>
        <v>358069.22322629875</v>
      </c>
      <c r="JG6" s="17">
        <v>18050.269800000002</v>
      </c>
      <c r="JH6" s="290">
        <f>JG6*$JD6</f>
        <v>29513.163104994921</v>
      </c>
      <c r="JI6" s="17">
        <v>186217.60978451057</v>
      </c>
      <c r="JJ6" s="290">
        <f>JI6*JC6</f>
        <v>409678.74152592331</v>
      </c>
      <c r="JK6" s="17">
        <v>324907.78929672181</v>
      </c>
      <c r="JL6" s="290">
        <v>816838.09085866832</v>
      </c>
      <c r="JM6" s="17">
        <v>4953.383799999996</v>
      </c>
      <c r="JN6" s="290">
        <f>JM6*$JD6</f>
        <v>8099.0492458478047</v>
      </c>
      <c r="JO6" s="17">
        <v>27255.312800000014</v>
      </c>
      <c r="JP6" s="290">
        <f>JO6*$JD6</f>
        <v>44563.904088794072</v>
      </c>
      <c r="JQ6" s="17">
        <v>24635.33</v>
      </c>
      <c r="JR6" s="290">
        <f>JQ6*$JD6</f>
        <v>40280.09112835391</v>
      </c>
      <c r="JS6" s="17">
        <v>108325.56174999999</v>
      </c>
      <c r="JT6" s="290">
        <f>JS6*$JD6</f>
        <v>177118.12664251414</v>
      </c>
      <c r="JU6" s="17">
        <f>JE6+JG6+JI6+JK6+JM6+JQ6+JS6+JO6</f>
        <v>913340.62764672167</v>
      </c>
      <c r="JV6" s="17">
        <f>JF6+JH6+JJ6+JL6+JN6+JR6+JT6+JP6</f>
        <v>1884160.389821395</v>
      </c>
      <c r="JW6" s="320">
        <f t="shared" ref="JW6:JW26" si="9">JV6/IB6*100</f>
        <v>9.9976074101932593</v>
      </c>
      <c r="KA6" s="283">
        <v>1</v>
      </c>
      <c r="KB6" s="306">
        <v>1</v>
      </c>
      <c r="KC6" s="97">
        <f t="shared" ref="KC6:KC25" si="10">HZ6</f>
        <v>22</v>
      </c>
      <c r="KD6" s="97">
        <f t="shared" ref="KD6:KD18" si="11">KC6</f>
        <v>22</v>
      </c>
      <c r="KE6" s="289">
        <f t="shared" ref="KE6:KE25" si="12">IB6</f>
        <v>18846113</v>
      </c>
      <c r="KF6" s="289">
        <f t="shared" ref="KF6:KF25" si="13">KE6*$KH$26</f>
        <v>19662926.923999563</v>
      </c>
      <c r="KG6" s="321">
        <f>KD6/KC6</f>
        <v>1</v>
      </c>
      <c r="KH6" s="321">
        <f>KF6/KE6</f>
        <v>1.0433412409232377</v>
      </c>
      <c r="KI6" s="321">
        <f>LZ7/LY7</f>
        <v>0.98744492579278942</v>
      </c>
      <c r="KJ6" s="306" t="s">
        <v>256</v>
      </c>
      <c r="KK6" s="322"/>
      <c r="KL6" s="323"/>
      <c r="KM6" s="322"/>
      <c r="KN6" s="283">
        <v>1</v>
      </c>
      <c r="KO6" s="306">
        <v>1</v>
      </c>
      <c r="KP6" s="324" t="str">
        <f t="shared" ref="KP6:KP25" si="14">KJ6</f>
        <v>Q3</v>
      </c>
      <c r="KQ6" s="325">
        <f t="shared" ref="KQ6:KQ26" si="15">KI6</f>
        <v>0.98744492579278942</v>
      </c>
      <c r="KR6" s="17">
        <f>IO6</f>
        <v>0</v>
      </c>
      <c r="KS6" s="17">
        <f>KR6*KI6</f>
        <v>0</v>
      </c>
      <c r="KT6" s="17">
        <f t="shared" ref="KT6:KT26" si="16">IQ6</f>
        <v>1917604</v>
      </c>
      <c r="KU6" s="17">
        <f>IB6/$IB$26*$KU$26</f>
        <v>2139908.9411763279</v>
      </c>
      <c r="KV6" s="17">
        <f t="shared" ref="KV6:KV25" si="17">IS6</f>
        <v>776037</v>
      </c>
      <c r="KW6" s="17">
        <f t="shared" ref="KW6:KW25" si="18">IB6/$IB$26*$KW$26</f>
        <v>1174698.161752417</v>
      </c>
      <c r="KX6" s="17">
        <f>IU6</f>
        <v>278605.98289173353</v>
      </c>
      <c r="KY6" s="17">
        <f>IB6/$IB$26*$KY$26</f>
        <v>42455.619171788028</v>
      </c>
      <c r="KZ6" s="17">
        <f>SUM(KR6,KV6,KX6)</f>
        <v>1054642.9828917335</v>
      </c>
      <c r="LA6" s="17">
        <f>SUM(KS6,KW6,KY6)</f>
        <v>1217153.780924205</v>
      </c>
      <c r="LB6" s="326"/>
      <c r="LC6" s="323"/>
      <c r="LD6" s="322"/>
      <c r="LE6" s="327">
        <v>1</v>
      </c>
      <c r="LF6" s="328"/>
      <c r="LG6" s="328"/>
      <c r="LH6" s="329" t="s">
        <v>174</v>
      </c>
      <c r="LI6" s="330"/>
      <c r="LJ6" s="331">
        <v>93.896890289895666</v>
      </c>
      <c r="LK6" s="332"/>
      <c r="LL6" s="331">
        <v>93.896890289895666</v>
      </c>
      <c r="LM6" s="332"/>
      <c r="LN6" s="331">
        <v>93.896890289895666</v>
      </c>
      <c r="LO6" s="332"/>
      <c r="LP6" s="331">
        <v>124.073296295623</v>
      </c>
      <c r="LQ6" s="332"/>
      <c r="LR6" s="331">
        <v>124.918518433629</v>
      </c>
      <c r="LS6" s="332"/>
      <c r="LT6" s="331">
        <v>142.81445092884499</v>
      </c>
      <c r="LU6" s="332"/>
      <c r="LV6" s="331">
        <v>117.90757601671299</v>
      </c>
      <c r="LW6" s="332"/>
      <c r="LX6" s="331">
        <v>121.988107636154</v>
      </c>
      <c r="LY6" s="330"/>
      <c r="LZ6" s="333"/>
      <c r="MA6" s="334"/>
      <c r="MB6" s="335"/>
      <c r="MD6" s="283">
        <v>1</v>
      </c>
      <c r="ME6" s="336">
        <v>1</v>
      </c>
      <c r="MF6" s="17">
        <f t="shared" ref="MF6:MG25" si="19">IV6</f>
        <v>683939.95681036741</v>
      </c>
      <c r="MG6" s="17">
        <f t="shared" si="19"/>
        <v>1054642.9828917335</v>
      </c>
      <c r="MH6" s="290">
        <f t="shared" ref="MH6:MH25" si="20">LA6</f>
        <v>1217153.780924205</v>
      </c>
      <c r="MI6" s="17">
        <f t="shared" ref="MI6:MJ25" si="21">JU6</f>
        <v>913340.62764672167</v>
      </c>
      <c r="MJ6" s="17">
        <f t="shared" si="21"/>
        <v>1884160.389821395</v>
      </c>
      <c r="MK6" s="290">
        <f>LZ7</f>
        <v>1860504.6163089005</v>
      </c>
      <c r="ML6" s="17">
        <f>MF6-MI6</f>
        <v>-229400.67083635426</v>
      </c>
      <c r="MM6" s="17">
        <f>MG6-MJ6</f>
        <v>-829517.40692966152</v>
      </c>
      <c r="MN6" s="17">
        <f>MH6-MK6</f>
        <v>-643350.83538469556</v>
      </c>
      <c r="MP6" s="337"/>
      <c r="MQ6" s="98"/>
      <c r="MR6" s="283">
        <v>1</v>
      </c>
      <c r="MS6" s="285" t="s">
        <v>175</v>
      </c>
      <c r="MT6" s="265"/>
      <c r="MU6" s="98"/>
      <c r="MV6" s="337"/>
      <c r="MW6" s="98"/>
      <c r="MX6" s="338" t="s">
        <v>135</v>
      </c>
      <c r="MY6" s="338"/>
      <c r="MZ6" s="227" t="s">
        <v>136</v>
      </c>
      <c r="NA6" s="226" t="s">
        <v>137</v>
      </c>
      <c r="NB6" s="226"/>
      <c r="NC6" s="234" t="s">
        <v>138</v>
      </c>
      <c r="ND6" s="226" t="s">
        <v>139</v>
      </c>
      <c r="NF6" s="337"/>
      <c r="NG6" s="98"/>
      <c r="NH6" s="338" t="s">
        <v>135</v>
      </c>
      <c r="NI6" s="113"/>
      <c r="NJ6" s="96"/>
      <c r="NO6" s="337"/>
      <c r="NP6" s="98"/>
    </row>
    <row r="7" spans="2:387" x14ac:dyDescent="0.3">
      <c r="B7" s="226">
        <f>B6+1</f>
        <v>2</v>
      </c>
      <c r="C7" s="339"/>
      <c r="D7" s="518" t="s">
        <v>166</v>
      </c>
      <c r="E7" s="340"/>
      <c r="F7" s="15">
        <f>HN7-F10-F11</f>
        <v>326375296.65850008</v>
      </c>
      <c r="G7" s="341">
        <f t="shared" ref="G7:G12" si="22">F7/F$24*100</f>
        <v>15.703284067284784</v>
      </c>
      <c r="H7" s="15">
        <f>HR7-H10-H11</f>
        <v>322622284.32787216</v>
      </c>
      <c r="I7" s="342">
        <f t="shared" ref="I7:I12" si="23">H7/H$24*100</f>
        <v>15.485414163347016</v>
      </c>
      <c r="J7" s="343">
        <f>H7-F7</f>
        <v>-3753012.3306279182</v>
      </c>
      <c r="K7" s="15">
        <f>K8+K9</f>
        <v>324392392</v>
      </c>
      <c r="L7" s="342">
        <f t="shared" ref="L7:L12" si="24">K7/K$24*100</f>
        <v>15.355887069393029</v>
      </c>
      <c r="M7" s="343">
        <f>K7-H7</f>
        <v>1770107.6721278429</v>
      </c>
      <c r="N7" s="15">
        <f>N8+N9</f>
        <v>371540376.1521095</v>
      </c>
      <c r="O7" s="342">
        <f t="shared" ref="O7:O12" si="25">N7/N$24*100</f>
        <v>16.857139914826746</v>
      </c>
      <c r="P7" s="343">
        <f>N7-K7</f>
        <v>47147984.152109504</v>
      </c>
      <c r="Q7" s="15">
        <f>N7-F7</f>
        <v>45165079.493609428</v>
      </c>
      <c r="R7" s="344">
        <f>O7/G7-1</f>
        <v>7.3478633042487695E-2</v>
      </c>
      <c r="V7" s="249">
        <f>V6+1</f>
        <v>1</v>
      </c>
      <c r="W7" s="345" t="s">
        <v>176</v>
      </c>
      <c r="X7" s="20">
        <v>-230802.10374195941</v>
      </c>
      <c r="Y7" s="20">
        <v>1676841.6676000003</v>
      </c>
      <c r="Z7" s="20">
        <v>3899001.5918000019</v>
      </c>
      <c r="AA7" s="20">
        <f>SUM(X7:Z7)</f>
        <v>5345041.155658043</v>
      </c>
      <c r="AB7" s="20"/>
      <c r="AF7" s="249">
        <v>1</v>
      </c>
      <c r="AG7" s="346" t="s">
        <v>78</v>
      </c>
      <c r="AH7" s="105">
        <f>CM9</f>
        <v>1768304.2516944832</v>
      </c>
      <c r="AI7" s="105">
        <f>CZ9</f>
        <v>110734.90699999999</v>
      </c>
      <c r="AJ7" s="347">
        <f>DJ9</f>
        <v>530227.1121017714</v>
      </c>
      <c r="AN7" s="338">
        <v>2</v>
      </c>
      <c r="AO7" s="96"/>
      <c r="AQ7" s="518" t="s">
        <v>166</v>
      </c>
      <c r="AR7" s="340"/>
      <c r="AS7" s="348">
        <v>120302111.8284</v>
      </c>
      <c r="AT7" s="349">
        <v>11.731293175407233</v>
      </c>
      <c r="AU7" s="350"/>
      <c r="AV7" s="348">
        <v>126126278.56186666</v>
      </c>
      <c r="AW7" s="349">
        <v>11.687249674641077</v>
      </c>
      <c r="AX7" s="351">
        <f>AW7/AT7-1</f>
        <v>-3.754360248918287E-3</v>
      </c>
      <c r="AY7" s="350"/>
      <c r="AZ7" s="348">
        <v>150728360.25</v>
      </c>
      <c r="BA7" s="349">
        <v>11.683129983994691</v>
      </c>
      <c r="BB7" s="351">
        <f>BA7/AW7-1</f>
        <v>-3.5249445002660806E-4</v>
      </c>
      <c r="BC7" s="350"/>
      <c r="BD7" s="348">
        <v>171227908</v>
      </c>
      <c r="BE7" s="349">
        <v>11.643318740549148</v>
      </c>
      <c r="BF7" s="351">
        <f>BE7/BA7-1</f>
        <v>-3.407583712590978E-3</v>
      </c>
      <c r="BG7" s="350"/>
      <c r="BH7" s="348">
        <v>176109569.11769998</v>
      </c>
      <c r="BI7" s="349">
        <v>11.588889837145976</v>
      </c>
      <c r="BJ7" s="351">
        <f>BI7/BE7-1</f>
        <v>-4.6746898041721829E-3</v>
      </c>
      <c r="BK7" s="350"/>
      <c r="BL7" s="348">
        <v>240705114.20000002</v>
      </c>
      <c r="BM7" s="349">
        <v>14.309535452395124</v>
      </c>
      <c r="BN7" s="351">
        <f>BM7/BI7-1</f>
        <v>0.23476326494438138</v>
      </c>
      <c r="BO7" s="350"/>
      <c r="BP7" s="348">
        <v>290609169.1400001</v>
      </c>
      <c r="BQ7" s="349">
        <v>15.66802926667919</v>
      </c>
      <c r="BR7" s="351">
        <f>BQ7/BM7-1</f>
        <v>9.4936262522532289E-2</v>
      </c>
      <c r="BS7" s="350"/>
      <c r="BT7" s="518">
        <v>313797305.58539999</v>
      </c>
      <c r="BU7" s="518">
        <v>15.993295780429609</v>
      </c>
      <c r="BV7" s="518">
        <f>BU7/BQ7-1</f>
        <v>2.0759886786920534E-2</v>
      </c>
      <c r="BW7" s="15">
        <v>311488574.40979999</v>
      </c>
      <c r="BX7" s="16">
        <v>16.091667659507319</v>
      </c>
      <c r="BY7" s="16">
        <f>BX7/BU7-1</f>
        <v>6.15081972022824E-3</v>
      </c>
      <c r="BZ7" s="16">
        <v>328676461.76159996</v>
      </c>
      <c r="CA7" s="16">
        <v>16.112403825565277</v>
      </c>
      <c r="CB7" s="16">
        <f>CA7/BX7-1</f>
        <v>1.2886275367305355E-3</v>
      </c>
      <c r="CC7" s="15">
        <f t="shared" ref="CC7:CD10" si="26">F7</f>
        <v>326375296.65850008</v>
      </c>
      <c r="CD7" s="16">
        <f t="shared" si="26"/>
        <v>15.703284067284784</v>
      </c>
      <c r="CE7" s="352">
        <f>CD7/CA7-1</f>
        <v>-2.5391602811701497E-2</v>
      </c>
      <c r="CF7" s="353">
        <f>CC7/AS7-1</f>
        <v>1.712963984572812</v>
      </c>
      <c r="CG7" s="352">
        <f>(CF7+1)^(1/(2022-2004))-1</f>
        <v>5.701274482339147E-2</v>
      </c>
      <c r="CK7" s="338">
        <v>2</v>
      </c>
      <c r="CL7" s="354" t="s">
        <v>70</v>
      </c>
      <c r="CM7" s="355">
        <v>540922.95217162615</v>
      </c>
      <c r="CN7" s="20">
        <v>9819424.8602000009</v>
      </c>
      <c r="CO7" s="20">
        <v>1620681.3805000002</v>
      </c>
      <c r="CP7" s="343">
        <f>CO7+CN7</f>
        <v>11440106.240700001</v>
      </c>
      <c r="CQ7" s="355">
        <v>541980.73717162607</v>
      </c>
      <c r="CR7" s="20">
        <v>9837708.0032399986</v>
      </c>
      <c r="CS7" s="20">
        <v>1210007.2553475637</v>
      </c>
      <c r="CT7" s="20">
        <f>CS7+CR7</f>
        <v>11047715.258587562</v>
      </c>
      <c r="CU7" s="291"/>
      <c r="CV7" s="106"/>
      <c r="CX7" s="338">
        <v>2</v>
      </c>
      <c r="CY7" s="356" t="s">
        <v>70</v>
      </c>
      <c r="CZ7" s="105">
        <v>22837.065999999999</v>
      </c>
      <c r="DA7" s="357">
        <v>462836.85349999991</v>
      </c>
      <c r="DB7" s="105">
        <v>22840.665999999997</v>
      </c>
      <c r="DC7" s="20">
        <v>462892.65350000001</v>
      </c>
      <c r="DD7" s="20">
        <v>462892.6534999999</v>
      </c>
      <c r="DF7" s="106"/>
      <c r="DH7" s="338">
        <v>2</v>
      </c>
      <c r="DI7" s="356" t="s">
        <v>70</v>
      </c>
      <c r="DJ7" s="105">
        <v>171122.55001421802</v>
      </c>
      <c r="DK7" s="357">
        <v>5190526.0488</v>
      </c>
      <c r="DL7" s="105">
        <v>172014.32501421802</v>
      </c>
      <c r="DM7" s="358">
        <v>5622503.1129124369</v>
      </c>
      <c r="DQ7" s="338">
        <v>2</v>
      </c>
      <c r="DR7" s="359" t="s">
        <v>177</v>
      </c>
      <c r="DS7" s="20">
        <v>403477.63</v>
      </c>
      <c r="DT7" s="20">
        <v>460799.89</v>
      </c>
      <c r="DU7" s="20">
        <v>254199.13</v>
      </c>
      <c r="DV7" s="20">
        <v>1118476.6499999999</v>
      </c>
      <c r="DW7" s="15"/>
      <c r="DX7" s="20"/>
      <c r="DY7" s="20"/>
      <c r="DZ7" s="20"/>
      <c r="ED7" s="338">
        <v>2</v>
      </c>
      <c r="EE7" s="340" t="s">
        <v>178</v>
      </c>
      <c r="EF7" s="20">
        <v>65167.883999999998</v>
      </c>
      <c r="EG7" s="20">
        <v>886859.10999999987</v>
      </c>
      <c r="EH7" s="20">
        <v>2058497.3399999999</v>
      </c>
      <c r="EI7" s="343">
        <f>SUM(EF7:EH7)</f>
        <v>3010524.3339999998</v>
      </c>
      <c r="EJ7" s="20">
        <v>65167.884000000005</v>
      </c>
      <c r="EK7" s="20">
        <v>886859.1100000001</v>
      </c>
      <c r="EL7" s="20">
        <v>2058497.3400000003</v>
      </c>
      <c r="EM7" s="20">
        <f>SUM(EJ7:EL7)</f>
        <v>3010524.3340000003</v>
      </c>
      <c r="EN7" s="103"/>
      <c r="EO7" s="106"/>
      <c r="EQ7" s="338">
        <v>2</v>
      </c>
      <c r="ER7" s="340" t="s">
        <v>178</v>
      </c>
      <c r="ES7" s="20">
        <v>74943.56</v>
      </c>
      <c r="ET7" s="20">
        <v>93660.9</v>
      </c>
      <c r="EU7" s="20">
        <v>304468.08999999997</v>
      </c>
      <c r="EV7" s="343">
        <f>SUM(ES7:EU7)</f>
        <v>473072.54999999993</v>
      </c>
      <c r="EW7" s="20">
        <v>72151.375681818186</v>
      </c>
      <c r="EX7" s="20">
        <v>91744.566666666666</v>
      </c>
      <c r="EY7" s="20">
        <v>283929.38066666666</v>
      </c>
      <c r="EZ7" s="343">
        <f>SUM(EW7:EY7)</f>
        <v>447825.32301515155</v>
      </c>
      <c r="FA7" s="20">
        <f t="shared" si="0"/>
        <v>319869.22406621045</v>
      </c>
      <c r="FB7" s="20">
        <f>(EZ7/$EZ$9)*$FB$9</f>
        <v>128104.0994122023</v>
      </c>
      <c r="FC7" s="20">
        <f t="shared" ref="FC7:FC9" si="27">SUM(FA7:FB7)</f>
        <v>447973.32347841276</v>
      </c>
      <c r="FD7" s="103"/>
      <c r="FE7" s="106"/>
      <c r="FG7" s="338">
        <v>2</v>
      </c>
      <c r="FH7" s="360"/>
      <c r="FI7" s="361" t="s">
        <v>179</v>
      </c>
      <c r="FJ7" s="20">
        <v>182933.261</v>
      </c>
      <c r="FK7" s="20">
        <v>225954.03999999998</v>
      </c>
      <c r="FL7" s="20">
        <v>498555.36999999994</v>
      </c>
      <c r="FM7" s="343">
        <f t="shared" ref="FM7:FM20" si="28">FJ7+FL7+FK7</f>
        <v>907442.67099999986</v>
      </c>
      <c r="FN7" s="20">
        <v>185562.03433333334</v>
      </c>
      <c r="FO7" s="20">
        <v>226230.83999999997</v>
      </c>
      <c r="FP7" s="20">
        <v>498555.36999999994</v>
      </c>
      <c r="FQ7" s="20">
        <v>910348.24433333334</v>
      </c>
      <c r="FR7" s="20">
        <v>910348.24433333334</v>
      </c>
      <c r="FS7" s="300"/>
      <c r="FT7" s="95"/>
      <c r="FV7" s="338">
        <v>2</v>
      </c>
      <c r="FW7" s="340" t="s">
        <v>180</v>
      </c>
      <c r="FX7" s="20">
        <v>14732.02</v>
      </c>
      <c r="FY7" s="20">
        <v>2654</v>
      </c>
      <c r="FZ7" s="20">
        <v>0</v>
      </c>
      <c r="GA7" s="343">
        <v>17386.02</v>
      </c>
      <c r="GB7" s="20">
        <v>0</v>
      </c>
      <c r="GC7" s="20">
        <v>0</v>
      </c>
      <c r="GD7" s="20">
        <v>0</v>
      </c>
      <c r="GE7" s="343">
        <f t="shared" si="1"/>
        <v>0</v>
      </c>
      <c r="GF7" s="300"/>
      <c r="GG7" s="301"/>
      <c r="GI7" s="338">
        <v>2</v>
      </c>
      <c r="GJ7" s="362" t="s">
        <v>181</v>
      </c>
      <c r="GK7" s="20">
        <v>0</v>
      </c>
      <c r="GL7" s="20">
        <v>0</v>
      </c>
      <c r="GM7" s="20">
        <v>0</v>
      </c>
      <c r="GN7" s="343">
        <f t="shared" si="2"/>
        <v>0</v>
      </c>
      <c r="GO7" s="20">
        <v>0</v>
      </c>
      <c r="GP7" s="20">
        <v>0</v>
      </c>
      <c r="GQ7" s="20">
        <v>0</v>
      </c>
      <c r="GR7" s="343">
        <f t="shared" si="3"/>
        <v>0</v>
      </c>
      <c r="GS7" s="300"/>
      <c r="GT7" s="301"/>
      <c r="GV7" s="338">
        <v>2</v>
      </c>
      <c r="GW7" s="340" t="s">
        <v>182</v>
      </c>
      <c r="GX7" s="20">
        <v>27580.2</v>
      </c>
      <c r="GY7" s="20">
        <v>47921.2</v>
      </c>
      <c r="GZ7" s="20">
        <v>186977.88999999998</v>
      </c>
      <c r="HA7" s="343">
        <f t="shared" si="4"/>
        <v>262479.28999999998</v>
      </c>
      <c r="HB7" s="20">
        <v>0</v>
      </c>
      <c r="HC7" s="20">
        <v>0</v>
      </c>
      <c r="HD7" s="20">
        <v>0</v>
      </c>
      <c r="HE7" s="20">
        <v>0</v>
      </c>
      <c r="HF7" s="300"/>
      <c r="HG7" s="301"/>
      <c r="HI7" s="338">
        <v>2</v>
      </c>
      <c r="HJ7" s="363" t="s">
        <v>166</v>
      </c>
      <c r="HK7" s="20">
        <v>47236332.827358045</v>
      </c>
      <c r="HL7" s="20">
        <v>99374623.267200008</v>
      </c>
      <c r="HM7" s="20">
        <v>186734914.08160001</v>
      </c>
      <c r="HN7" s="343">
        <f>SUM(HK7:HM7)</f>
        <v>333345870.17615807</v>
      </c>
      <c r="HO7" s="20">
        <v>45358766.83995606</v>
      </c>
      <c r="HP7" s="20">
        <v>97716155.907619998</v>
      </c>
      <c r="HQ7" s="20">
        <v>184313460.52160001</v>
      </c>
      <c r="HR7" s="20">
        <f>SUM(HO7:HQ7)</f>
        <v>327388383.26917607</v>
      </c>
      <c r="HW7" s="338">
        <v>2</v>
      </c>
      <c r="HX7" s="322">
        <v>2</v>
      </c>
      <c r="HY7" s="322">
        <v>10</v>
      </c>
      <c r="HZ7" s="322">
        <v>9</v>
      </c>
      <c r="IA7" s="347">
        <v>15226542</v>
      </c>
      <c r="IB7" s="347">
        <v>13620382</v>
      </c>
      <c r="IC7" s="342">
        <f t="shared" si="5"/>
        <v>0.9</v>
      </c>
      <c r="ID7" s="342">
        <f t="shared" si="6"/>
        <v>0.89451577383755287</v>
      </c>
      <c r="IE7" s="344">
        <v>1</v>
      </c>
      <c r="IF7" s="344">
        <v>0</v>
      </c>
      <c r="IG7" s="344">
        <v>0</v>
      </c>
      <c r="II7" s="208"/>
      <c r="IK7" s="364">
        <v>2</v>
      </c>
      <c r="IL7" s="365">
        <v>2</v>
      </c>
      <c r="IM7" s="341">
        <f t="shared" si="7"/>
        <v>0.89451577383755287</v>
      </c>
      <c r="IN7" s="20">
        <v>0</v>
      </c>
      <c r="IO7" s="343">
        <f t="shared" ref="IO7:IO25" si="29">IM7*IN7</f>
        <v>0</v>
      </c>
      <c r="IP7" s="20">
        <v>1675007</v>
      </c>
      <c r="IQ7" s="343">
        <v>1500074</v>
      </c>
      <c r="IR7" s="20">
        <v>691463.46779999998</v>
      </c>
      <c r="IS7" s="343">
        <v>617536</v>
      </c>
      <c r="IT7" s="20">
        <v>217265.44049354317</v>
      </c>
      <c r="IU7" s="20">
        <v>194385.98130609185</v>
      </c>
      <c r="IV7" s="20">
        <f t="shared" ref="IV7:IW25" si="30">SUM(IN7,IR7,IT7)</f>
        <v>908728.90829354315</v>
      </c>
      <c r="IW7" s="20">
        <f t="shared" si="30"/>
        <v>811921.98130609188</v>
      </c>
      <c r="IX7" s="314"/>
      <c r="IY7" s="315"/>
      <c r="IZ7" s="314"/>
      <c r="JA7" s="366">
        <v>2</v>
      </c>
      <c r="JB7" s="365">
        <v>2</v>
      </c>
      <c r="JC7" s="367">
        <f t="shared" si="8"/>
        <v>0.9</v>
      </c>
      <c r="JD7" s="368">
        <f t="shared" si="8"/>
        <v>0.89451577383755287</v>
      </c>
      <c r="JE7" s="20">
        <v>384379.79883572698</v>
      </c>
      <c r="JF7" s="343">
        <f>JE7*$JD7</f>
        <v>343833.79320306325</v>
      </c>
      <c r="JG7" s="20">
        <v>15229.213</v>
      </c>
      <c r="JH7" s="343">
        <f t="shared" ref="JH7:JH25" si="31">JG7*$JD7</f>
        <v>13622.771251631921</v>
      </c>
      <c r="JI7" s="20">
        <v>130114.52976427312</v>
      </c>
      <c r="JJ7" s="343">
        <f t="shared" ref="JJ7:JJ25" si="32">JI7*JC7</f>
        <v>117103.07678784581</v>
      </c>
      <c r="JK7" s="20">
        <v>338384.66274016834</v>
      </c>
      <c r="JL7" s="343">
        <v>313094.17698303401</v>
      </c>
      <c r="JM7" s="20">
        <v>63787.200800000013</v>
      </c>
      <c r="JN7" s="343">
        <f t="shared" ref="JN7:JN24" si="33">JM7*$JD7</f>
        <v>57058.657284543384</v>
      </c>
      <c r="JO7" s="20">
        <v>16205.010000000002</v>
      </c>
      <c r="JP7" s="343">
        <f t="shared" ref="JP7:JP25" si="34">JO7*$JD7</f>
        <v>14495.637060195284</v>
      </c>
      <c r="JQ7" s="20">
        <v>44486.950000000004</v>
      </c>
      <c r="JR7" s="343">
        <f t="shared" ref="JR7:JR25" si="35">JQ7*$JD7</f>
        <v>39794.278504922528</v>
      </c>
      <c r="JS7" s="20">
        <v>145665.37959999999</v>
      </c>
      <c r="JT7" s="343">
        <f t="shared" ref="JT7:JT25" si="36">JS7*$JD7</f>
        <v>130299.97975423488</v>
      </c>
      <c r="JU7" s="20">
        <f t="shared" ref="JU7:JV26" si="37">JE7+JG7+JI7+JK7+JM7+JQ7+JS7+JO7</f>
        <v>1138252.7447401683</v>
      </c>
      <c r="JV7" s="20">
        <f t="shared" si="37"/>
        <v>1029302.370829471</v>
      </c>
      <c r="JW7" s="369">
        <f t="shared" si="9"/>
        <v>7.5570741762563713</v>
      </c>
      <c r="KA7" s="338">
        <v>2</v>
      </c>
      <c r="KB7" s="322">
        <v>2</v>
      </c>
      <c r="KC7" s="518">
        <f t="shared" si="10"/>
        <v>9</v>
      </c>
      <c r="KD7" s="518">
        <f t="shared" si="11"/>
        <v>9</v>
      </c>
      <c r="KE7" s="370">
        <f t="shared" si="12"/>
        <v>13620382</v>
      </c>
      <c r="KF7" s="370">
        <f t="shared" si="13"/>
        <v>14210706.25772853</v>
      </c>
      <c r="KG7" s="371">
        <f t="shared" ref="KG7:KG26" si="38">KD7/KC7</f>
        <v>1</v>
      </c>
      <c r="KH7" s="371">
        <f t="shared" ref="KH7:KH26" si="39">KF7/KE7</f>
        <v>1.0433412409232377</v>
      </c>
      <c r="KI7" s="371">
        <f t="shared" ref="KI7:KI25" si="40">LZ8/LY8</f>
        <v>0.99211946791969263</v>
      </c>
      <c r="KJ7" s="322" t="s">
        <v>256</v>
      </c>
      <c r="KK7" s="322"/>
      <c r="KL7" s="323"/>
      <c r="KM7" s="322"/>
      <c r="KN7" s="338">
        <v>2</v>
      </c>
      <c r="KO7" s="322">
        <v>2</v>
      </c>
      <c r="KP7" s="372" t="str">
        <f t="shared" si="14"/>
        <v>Q3</v>
      </c>
      <c r="KQ7" s="373">
        <f t="shared" si="15"/>
        <v>0.99211946791969263</v>
      </c>
      <c r="KR7" s="358">
        <f t="shared" ref="KR7:KR25" si="41">IO7</f>
        <v>0</v>
      </c>
      <c r="KS7" s="358">
        <f t="shared" ref="KS7:KS25" si="42">KR7*KI7</f>
        <v>0</v>
      </c>
      <c r="KT7" s="358">
        <f t="shared" si="16"/>
        <v>1500074</v>
      </c>
      <c r="KU7" s="358">
        <f t="shared" ref="KU7:KU25" si="43">IB7/$IB$26*$KU$26</f>
        <v>1546545.8168502497</v>
      </c>
      <c r="KV7" s="358">
        <f t="shared" si="17"/>
        <v>617536</v>
      </c>
      <c r="KW7" s="358">
        <f t="shared" si="18"/>
        <v>848972.8199000879</v>
      </c>
      <c r="KX7" s="358">
        <f t="shared" ref="KX7:KX25" si="44">IU7</f>
        <v>194385.98130609185</v>
      </c>
      <c r="KY7" s="358">
        <f t="shared" ref="KY7:KY25" si="45">IB7/$IB$26*$KY$26</f>
        <v>30683.343093946034</v>
      </c>
      <c r="KZ7" s="358">
        <f t="shared" ref="KZ7:LA25" si="46">SUM(KR7,KV7,KX7)</f>
        <v>811921.98130609188</v>
      </c>
      <c r="LA7" s="358">
        <f t="shared" si="46"/>
        <v>879656.16299403389</v>
      </c>
      <c r="LB7" s="326"/>
      <c r="LC7" s="323"/>
      <c r="LD7" s="322"/>
      <c r="LE7" s="374">
        <f>LE6+1</f>
        <v>2</v>
      </c>
      <c r="LF7" s="375">
        <v>1</v>
      </c>
      <c r="LG7" s="376">
        <f>KG6</f>
        <v>1</v>
      </c>
      <c r="LH7" s="376">
        <f>KH6</f>
        <v>1.0433412409232377</v>
      </c>
      <c r="LI7" s="377">
        <v>106.45762205358784</v>
      </c>
      <c r="LJ7" s="290">
        <f>JF6*LJ$6/LI7*LH7</f>
        <v>329509.40643347299</v>
      </c>
      <c r="LK7" s="377">
        <v>106.45762205358784</v>
      </c>
      <c r="LL7" s="290">
        <f t="shared" ref="LL7:LL26" si="47">JH6*LL$6/LK7*LH7</f>
        <v>27159.175449589151</v>
      </c>
      <c r="LM7" s="377">
        <v>106.45762205358784</v>
      </c>
      <c r="LN7" s="290">
        <f t="shared" ref="LN7:LN26" si="48">JJ6*LN$6/LM7*LG7</f>
        <v>361341.52825430036</v>
      </c>
      <c r="LO7" s="377">
        <v>118.614283549666</v>
      </c>
      <c r="LP7" s="290">
        <f>JL6*LP$6/LO7*LG7</f>
        <v>854431.6202038381</v>
      </c>
      <c r="LQ7" s="377">
        <v>119.48337591187899</v>
      </c>
      <c r="LR7" s="290">
        <f t="shared" ref="LR7:LR26" si="49">JN6*LR$6/LQ7*LH7</f>
        <v>8834.4548196920714</v>
      </c>
      <c r="LS7" s="377">
        <v>157.07111615098</v>
      </c>
      <c r="LT7" s="290">
        <f t="shared" ref="LT7:LT26" si="50">JP6*LT$6/LS7*LH7</f>
        <v>42275.176543945316</v>
      </c>
      <c r="LU7" s="377">
        <v>112.15574935818501</v>
      </c>
      <c r="LV7" s="290">
        <f t="shared" ref="LV7:LV26" si="51">JR6*LV$6/LU7*$LH7</f>
        <v>44181.147199848077</v>
      </c>
      <c r="LW7" s="377">
        <v>116.939890710382</v>
      </c>
      <c r="LX7" s="378">
        <f t="shared" ref="LX7:LX26" si="52">JT6*LX$6/LW7*$LH7</f>
        <v>192772.10740421453</v>
      </c>
      <c r="LY7" s="379">
        <f t="shared" ref="LY7:LY26" si="53">JV6</f>
        <v>1884160.389821395</v>
      </c>
      <c r="LZ7" s="379">
        <f>LJ7+LL7+LN7+LP7+LR7+LV7+LX7+LT7</f>
        <v>1860504.6163089005</v>
      </c>
      <c r="MA7" s="103"/>
      <c r="MB7" s="335"/>
      <c r="MD7" s="338">
        <v>2</v>
      </c>
      <c r="ME7" s="380">
        <v>2</v>
      </c>
      <c r="MF7" s="20">
        <f t="shared" si="19"/>
        <v>908728.90829354315</v>
      </c>
      <c r="MG7" s="20">
        <f t="shared" si="19"/>
        <v>811921.98130609188</v>
      </c>
      <c r="MH7" s="343">
        <f t="shared" si="20"/>
        <v>879656.16299403389</v>
      </c>
      <c r="MI7" s="20">
        <f t="shared" si="21"/>
        <v>1138252.7447401683</v>
      </c>
      <c r="MJ7" s="20">
        <f t="shared" si="21"/>
        <v>1029302.370829471</v>
      </c>
      <c r="MK7" s="343">
        <f t="shared" ref="MK7:MK25" si="54">LZ8</f>
        <v>1021190.920475813</v>
      </c>
      <c r="ML7" s="15">
        <f t="shared" ref="ML7:MN26" si="55">MF7-MI7</f>
        <v>-229523.83644662518</v>
      </c>
      <c r="MM7" s="20">
        <f t="shared" si="55"/>
        <v>-217380.38952337916</v>
      </c>
      <c r="MN7" s="20">
        <f t="shared" si="55"/>
        <v>-141534.75748177909</v>
      </c>
      <c r="MP7" s="337"/>
      <c r="MQ7" s="98"/>
      <c r="MR7" s="338">
        <f>MR6+1</f>
        <v>2</v>
      </c>
      <c r="MS7" s="346" t="s">
        <v>183</v>
      </c>
      <c r="MT7" s="20">
        <v>93608877.605802789</v>
      </c>
      <c r="MU7" s="98"/>
      <c r="MV7" s="337"/>
      <c r="MW7" s="98"/>
      <c r="MX7" s="283">
        <v>1</v>
      </c>
      <c r="MY7" s="285" t="s">
        <v>166</v>
      </c>
      <c r="MZ7" s="17">
        <f>N7</f>
        <v>371540376.1521095</v>
      </c>
      <c r="NA7" s="381">
        <f t="shared" ref="NA7:NA12" si="56">MZ7/$MZ$34*100</f>
        <v>16.857139914826746</v>
      </c>
      <c r="NB7" s="97"/>
      <c r="NC7" s="18">
        <f>NC8+NC9</f>
        <v>348300837.95011318</v>
      </c>
      <c r="ND7" s="381">
        <f t="shared" ref="ND7:ND12" si="57">NC7/$ND$34*100</f>
        <v>15.802739983696167</v>
      </c>
      <c r="NF7" s="337"/>
      <c r="NG7" s="98"/>
      <c r="NH7" s="283">
        <v>1</v>
      </c>
      <c r="NI7" s="285" t="str">
        <f t="shared" ref="NI7:NI21" si="58">MY7</f>
        <v>Revenue</v>
      </c>
      <c r="NJ7" s="17">
        <v>341824682.26215607</v>
      </c>
      <c r="NK7" s="17">
        <f>MZ7</f>
        <v>371540376.1521095</v>
      </c>
      <c r="NL7" s="17">
        <f>NK7-NJ7</f>
        <v>29715693.889953434</v>
      </c>
      <c r="NM7" s="383">
        <f>NL7/NJ7</f>
        <v>8.693255762953811E-2</v>
      </c>
      <c r="NO7" s="337"/>
      <c r="NP7" s="98"/>
    </row>
    <row r="8" spans="2:387" x14ac:dyDescent="0.3">
      <c r="B8" s="265">
        <f>B7+1</f>
        <v>3</v>
      </c>
      <c r="C8" s="384"/>
      <c r="D8" s="97"/>
      <c r="E8" s="286" t="s">
        <v>184</v>
      </c>
      <c r="F8" s="18">
        <f>HN8</f>
        <v>228950330.75</v>
      </c>
      <c r="G8" s="313">
        <f t="shared" si="22"/>
        <v>11.015760438596976</v>
      </c>
      <c r="H8" s="18">
        <f>HR8</f>
        <v>229512596.2469697</v>
      </c>
      <c r="I8" s="309">
        <f t="shared" si="23"/>
        <v>11.016280589525049</v>
      </c>
      <c r="J8" s="290">
        <f t="shared" ref="J8:J22" si="59">H8-F8</f>
        <v>562265.49696969986</v>
      </c>
      <c r="K8" s="18">
        <f>IQ26</f>
        <v>229425276</v>
      </c>
      <c r="L8" s="309">
        <f t="shared" si="24"/>
        <v>10.860392278004865</v>
      </c>
      <c r="M8" s="290">
        <f t="shared" ref="M8:M22" si="60">K8-H8</f>
        <v>-87320.24696969986</v>
      </c>
      <c r="N8" s="18">
        <f>KU26</f>
        <v>239866309.41368827</v>
      </c>
      <c r="O8" s="309">
        <f t="shared" si="25"/>
        <v>10.882962386258297</v>
      </c>
      <c r="P8" s="290">
        <f t="shared" ref="P8:P22" si="61">N8-K8</f>
        <v>10441033.413688272</v>
      </c>
      <c r="Q8" s="18">
        <f t="shared" ref="Q8:Q22" si="62">N8-F8</f>
        <v>10915978.663688272</v>
      </c>
      <c r="R8" s="310">
        <f t="shared" ref="R8:R22" si="63">O8/G8-1</f>
        <v>-1.205527780663973E-2</v>
      </c>
      <c r="V8" s="385">
        <f t="shared" ref="V8:V20" si="64">V7+1</f>
        <v>2</v>
      </c>
      <c r="W8" s="386" t="s">
        <v>185</v>
      </c>
      <c r="X8" s="387">
        <f>X7/F$24*100</f>
        <v>-1.1104857002027421E-2</v>
      </c>
      <c r="Y8" s="309">
        <f>Y7/F$24*100</f>
        <v>8.0679883899836047E-2</v>
      </c>
      <c r="Z8" s="309">
        <f>Z7/F$24*100</f>
        <v>0.18759731573341304</v>
      </c>
      <c r="AA8" s="309">
        <f>AA7/F$24*100</f>
        <v>0.25717234263122168</v>
      </c>
      <c r="AB8" s="342"/>
      <c r="AC8" s="348"/>
      <c r="AF8" s="385">
        <f>AF7+1</f>
        <v>2</v>
      </c>
      <c r="AG8" s="388" t="s">
        <v>186</v>
      </c>
      <c r="AH8" s="389">
        <f>AH7*3600/F$24</f>
        <v>3.0628991641755077</v>
      </c>
      <c r="AI8" s="389">
        <f>AI7*3600/F$24</f>
        <v>0.19180514539301818</v>
      </c>
      <c r="AJ8" s="389">
        <f>AJ7*3600/F$24</f>
        <v>0.91841218892250864</v>
      </c>
      <c r="AN8" s="283">
        <v>3</v>
      </c>
      <c r="AO8" s="390"/>
      <c r="AP8" s="97"/>
      <c r="AQ8" s="391" t="s">
        <v>184</v>
      </c>
      <c r="AR8" s="286"/>
      <c r="AS8" s="392">
        <v>79503570.349999994</v>
      </c>
      <c r="AT8" s="393">
        <v>7.7528122997362363</v>
      </c>
      <c r="AU8" s="394"/>
      <c r="AV8" s="392">
        <v>82983136.416666657</v>
      </c>
      <c r="AW8" s="393">
        <v>7.689473162491363</v>
      </c>
      <c r="AX8" s="383">
        <f>AW8/AT8-1</f>
        <v>-8.1698272570107644E-3</v>
      </c>
      <c r="AY8" s="394"/>
      <c r="AZ8" s="392">
        <v>98672863.5</v>
      </c>
      <c r="BA8" s="393">
        <v>7.6482480685877787</v>
      </c>
      <c r="BB8" s="383">
        <f>BA8/AW8-1</f>
        <v>-5.3612377639442599E-3</v>
      </c>
      <c r="BC8" s="394"/>
      <c r="BD8" s="392">
        <v>111397202</v>
      </c>
      <c r="BE8" s="393">
        <v>7.5748932801967008</v>
      </c>
      <c r="BF8" s="383">
        <f>BE8/BA8-1</f>
        <v>-9.5910576818701854E-3</v>
      </c>
      <c r="BG8" s="394"/>
      <c r="BH8" s="392">
        <v>116322907.89166664</v>
      </c>
      <c r="BI8" s="393">
        <v>7.6546287169214136</v>
      </c>
      <c r="BJ8" s="383">
        <f>BI8/BE8-1</f>
        <v>1.0526278559351843E-2</v>
      </c>
      <c r="BK8" s="394"/>
      <c r="BL8" s="392">
        <v>174683793.20000002</v>
      </c>
      <c r="BM8" s="393">
        <v>10.384673130282241</v>
      </c>
      <c r="BN8" s="383">
        <f>BM8/BI8-1</f>
        <v>0.35665275408143038</v>
      </c>
      <c r="BO8" s="394"/>
      <c r="BP8" s="392">
        <v>208646041.65000004</v>
      </c>
      <c r="BQ8" s="393">
        <v>11.249033527135891</v>
      </c>
      <c r="BR8" s="383">
        <f>BQ8/BM8-1</f>
        <v>8.3234242042065976E-2</v>
      </c>
      <c r="BS8" s="394"/>
      <c r="BT8" s="97">
        <v>219246568.60000002</v>
      </c>
      <c r="BU8" s="97">
        <v>11.174331831570692</v>
      </c>
      <c r="BV8" s="97">
        <f>BU8/BQ8-1</f>
        <v>-6.6407212126265991E-3</v>
      </c>
      <c r="BW8" s="18">
        <v>215103150.44999999</v>
      </c>
      <c r="BX8" s="19">
        <v>11.112344701929782</v>
      </c>
      <c r="BY8" s="19">
        <f t="shared" ref="BY8:BY20" si="65">BX8/BU8-1</f>
        <v>-5.5472784033295808E-3</v>
      </c>
      <c r="BZ8" s="19">
        <v>224292117.40000001</v>
      </c>
      <c r="CA8" s="19">
        <v>10.99526613822796</v>
      </c>
      <c r="CB8" s="19">
        <f t="shared" ref="CB8:CB20" si="66">CA8/BX8-1</f>
        <v>-1.0535901003996928E-2</v>
      </c>
      <c r="CC8" s="18">
        <f t="shared" si="26"/>
        <v>228950330.75</v>
      </c>
      <c r="CD8" s="19">
        <f t="shared" si="26"/>
        <v>11.015760438596976</v>
      </c>
      <c r="CE8" s="395">
        <f t="shared" ref="CE8:CE11" si="67">CD8/CA8-1</f>
        <v>1.8639203554848827E-3</v>
      </c>
      <c r="CF8" s="396">
        <f t="shared" ref="CF8:CF19" si="68">CC8/AS8-1</f>
        <v>1.8797490445031317</v>
      </c>
      <c r="CG8" s="395">
        <f t="shared" ref="CG8:CG11" si="69">(CF8+1)^(1/(2022-2004))-1</f>
        <v>6.0522049356856567E-2</v>
      </c>
      <c r="CK8" s="397">
        <v>3</v>
      </c>
      <c r="CL8" s="398" t="s">
        <v>71</v>
      </c>
      <c r="CM8" s="399">
        <v>999534.17312285723</v>
      </c>
      <c r="CN8" s="400">
        <v>18342221.399999995</v>
      </c>
      <c r="CO8" s="400">
        <v>2810283.7204999998</v>
      </c>
      <c r="CP8" s="401">
        <f>CO8+CN8</f>
        <v>21152505.120499995</v>
      </c>
      <c r="CQ8" s="399">
        <v>999534.17312285712</v>
      </c>
      <c r="CR8" s="400">
        <v>18342221.399999995</v>
      </c>
      <c r="CS8" s="400">
        <v>2082964.1689398875</v>
      </c>
      <c r="CT8" s="400">
        <f>CS8+CR8</f>
        <v>20425185.568939883</v>
      </c>
      <c r="CU8" s="291"/>
      <c r="CV8" s="106"/>
      <c r="CX8" s="397">
        <v>3</v>
      </c>
      <c r="CY8" s="402" t="s">
        <v>71</v>
      </c>
      <c r="CZ8" s="403">
        <v>60825.537499999991</v>
      </c>
      <c r="DA8" s="401">
        <v>1112961.7635000001</v>
      </c>
      <c r="DB8" s="403">
        <v>60825.537500000006</v>
      </c>
      <c r="DC8" s="400">
        <v>1112961.7634999999</v>
      </c>
      <c r="DD8" s="400">
        <v>1112961.7635000001</v>
      </c>
      <c r="DF8" s="106"/>
      <c r="DH8" s="397">
        <v>3</v>
      </c>
      <c r="DI8" s="402" t="s">
        <v>71</v>
      </c>
      <c r="DJ8" s="403">
        <v>233411.5000875534</v>
      </c>
      <c r="DK8" s="401">
        <v>7552344.527499998</v>
      </c>
      <c r="DL8" s="403">
        <v>233411.50008755337</v>
      </c>
      <c r="DM8" s="400">
        <v>8279664.0790601084</v>
      </c>
      <c r="DQ8" s="283">
        <v>3</v>
      </c>
      <c r="DR8" s="404" t="s">
        <v>187</v>
      </c>
      <c r="DS8" s="17">
        <v>2446443.2899999996</v>
      </c>
      <c r="DT8" s="17">
        <v>5284394.74</v>
      </c>
      <c r="DU8" s="17">
        <v>13190868.600000001</v>
      </c>
      <c r="DV8" s="17">
        <v>20921706.630000003</v>
      </c>
      <c r="DW8" s="18"/>
      <c r="DX8" s="17"/>
      <c r="DY8" s="17"/>
      <c r="DZ8" s="17"/>
      <c r="EA8" s="96"/>
      <c r="EB8" s="94"/>
      <c r="EC8" s="96"/>
      <c r="ED8" s="397">
        <v>3</v>
      </c>
      <c r="EE8" s="405" t="s">
        <v>188</v>
      </c>
      <c r="EF8" s="17">
        <v>109637.90600000002</v>
      </c>
      <c r="EG8" s="17">
        <v>202412.08</v>
      </c>
      <c r="EH8" s="17">
        <v>534797.69999999995</v>
      </c>
      <c r="EI8" s="290">
        <f>SUM(EF8:EH8)</f>
        <v>846847.68599999999</v>
      </c>
      <c r="EJ8" s="17">
        <v>110983.40599999999</v>
      </c>
      <c r="EK8" s="17">
        <v>202412.08000000005</v>
      </c>
      <c r="EL8" s="17">
        <v>534797.69999999995</v>
      </c>
      <c r="EM8" s="17">
        <f>SUM(EJ8:EL8)</f>
        <v>848193.18599999999</v>
      </c>
      <c r="EN8" s="103"/>
      <c r="EO8" s="106"/>
      <c r="EQ8" s="397">
        <v>3</v>
      </c>
      <c r="ER8" s="405" t="s">
        <v>188</v>
      </c>
      <c r="ES8" s="17">
        <v>821828.23680000007</v>
      </c>
      <c r="ET8" s="17">
        <v>820963.00999999989</v>
      </c>
      <c r="EU8" s="17">
        <v>978003.62</v>
      </c>
      <c r="EV8" s="290">
        <f>SUM(ES8:EU8)</f>
        <v>2620794.8668</v>
      </c>
      <c r="EW8" s="17">
        <v>774178.11871818162</v>
      </c>
      <c r="EX8" s="17">
        <v>790354.6412999999</v>
      </c>
      <c r="EY8" s="17">
        <v>956467.4888833334</v>
      </c>
      <c r="EZ8" s="290">
        <f>SUM(EW8:EY8)</f>
        <v>2521000.2489015148</v>
      </c>
      <c r="FA8" s="17">
        <f>(EZ8/$EZ$9)*$FA$9</f>
        <v>1800680.6494494905</v>
      </c>
      <c r="FB8" s="17">
        <f>(EZ8/$EZ$9)*$FB$9</f>
        <v>721152.75734985585</v>
      </c>
      <c r="FC8" s="17">
        <f t="shared" si="27"/>
        <v>2521833.4067993462</v>
      </c>
      <c r="FD8" s="103"/>
      <c r="FE8" s="106"/>
      <c r="FG8" s="283">
        <f>FG7+1</f>
        <v>3</v>
      </c>
      <c r="FH8" s="406"/>
      <c r="FI8" s="407" t="s">
        <v>189</v>
      </c>
      <c r="FJ8" s="17">
        <v>152009.04440000001</v>
      </c>
      <c r="FK8" s="17">
        <v>247630.06</v>
      </c>
      <c r="FL8" s="17">
        <v>470678.5</v>
      </c>
      <c r="FM8" s="290">
        <f t="shared" si="28"/>
        <v>870317.60440000007</v>
      </c>
      <c r="FN8" s="17">
        <v>153033.9534909091</v>
      </c>
      <c r="FO8" s="17">
        <v>247702.86000000002</v>
      </c>
      <c r="FP8" s="17">
        <v>470678.49999999988</v>
      </c>
      <c r="FQ8" s="17">
        <v>871415.31349090894</v>
      </c>
      <c r="FR8" s="17">
        <v>871415.31349090894</v>
      </c>
      <c r="FS8" s="103"/>
      <c r="FT8" s="408"/>
      <c r="FV8" s="283">
        <v>3</v>
      </c>
      <c r="FW8" s="286" t="s">
        <v>190</v>
      </c>
      <c r="FX8" s="17">
        <v>9186.32</v>
      </c>
      <c r="FY8" s="17">
        <v>31597.083899999998</v>
      </c>
      <c r="FZ8" s="17">
        <v>271608.79000000004</v>
      </c>
      <c r="GA8" s="290">
        <v>312392.19390000001</v>
      </c>
      <c r="GB8" s="17">
        <v>0</v>
      </c>
      <c r="GC8" s="17">
        <v>0</v>
      </c>
      <c r="GD8" s="17">
        <v>0</v>
      </c>
      <c r="GE8" s="290">
        <f t="shared" si="1"/>
        <v>0</v>
      </c>
      <c r="GF8" s="300"/>
      <c r="GG8" s="301"/>
      <c r="GI8" s="283">
        <v>3</v>
      </c>
      <c r="GJ8" s="97" t="s">
        <v>191</v>
      </c>
      <c r="GK8" s="17">
        <v>0</v>
      </c>
      <c r="GL8" s="17">
        <v>0</v>
      </c>
      <c r="GM8" s="17">
        <v>0</v>
      </c>
      <c r="GN8" s="290">
        <f t="shared" si="2"/>
        <v>0</v>
      </c>
      <c r="GO8" s="17">
        <v>0</v>
      </c>
      <c r="GP8" s="17">
        <v>0</v>
      </c>
      <c r="GQ8" s="17">
        <v>0</v>
      </c>
      <c r="GR8" s="290">
        <f t="shared" si="3"/>
        <v>0</v>
      </c>
      <c r="GS8" s="300"/>
      <c r="GT8" s="301"/>
      <c r="GV8" s="283">
        <v>3</v>
      </c>
      <c r="GW8" s="286" t="s">
        <v>192</v>
      </c>
      <c r="GX8" s="17">
        <v>0</v>
      </c>
      <c r="GY8" s="17">
        <v>0</v>
      </c>
      <c r="GZ8" s="17">
        <v>1064.96</v>
      </c>
      <c r="HA8" s="290">
        <f t="shared" si="4"/>
        <v>1064.96</v>
      </c>
      <c r="HB8" s="17">
        <v>0</v>
      </c>
      <c r="HC8" s="17">
        <v>0</v>
      </c>
      <c r="HD8" s="17">
        <v>1064.96</v>
      </c>
      <c r="HE8" s="17">
        <f>SUM(HB8:HD8)</f>
        <v>1064.96</v>
      </c>
      <c r="HF8" s="300"/>
      <c r="HG8" s="301"/>
      <c r="HI8" s="283">
        <v>3</v>
      </c>
      <c r="HJ8" s="409" t="s">
        <v>193</v>
      </c>
      <c r="HK8" s="17">
        <v>31688402</v>
      </c>
      <c r="HL8" s="17">
        <v>68501616</v>
      </c>
      <c r="HM8" s="17">
        <v>128760312.75</v>
      </c>
      <c r="HN8" s="290">
        <f>SUM(HK8:HM8)</f>
        <v>228950330.75</v>
      </c>
      <c r="HO8" s="17">
        <v>32082866.696969695</v>
      </c>
      <c r="HP8" s="17">
        <v>68669416.799999997</v>
      </c>
      <c r="HQ8" s="17">
        <v>128760312.75</v>
      </c>
      <c r="HR8" s="17">
        <f>SUM(HO8:HQ8)</f>
        <v>229512596.2469697</v>
      </c>
      <c r="HW8" s="283">
        <v>3</v>
      </c>
      <c r="HX8" s="306">
        <v>3</v>
      </c>
      <c r="HY8" s="306">
        <v>10</v>
      </c>
      <c r="HZ8" s="306">
        <v>12</v>
      </c>
      <c r="IA8" s="307">
        <v>19107204</v>
      </c>
      <c r="IB8" s="307">
        <v>22865469</v>
      </c>
      <c r="IC8" s="309">
        <f t="shared" si="5"/>
        <v>1.2</v>
      </c>
      <c r="ID8" s="309">
        <f t="shared" si="6"/>
        <v>1.1966936135710908</v>
      </c>
      <c r="IE8" s="310">
        <v>1</v>
      </c>
      <c r="IF8" s="310">
        <v>0</v>
      </c>
      <c r="IG8" s="310">
        <v>0</v>
      </c>
      <c r="IK8" s="410">
        <v>3</v>
      </c>
      <c r="IL8" s="317">
        <v>3</v>
      </c>
      <c r="IM8" s="313">
        <f t="shared" si="7"/>
        <v>1.1966936135710908</v>
      </c>
      <c r="IN8" s="17">
        <v>0</v>
      </c>
      <c r="IO8" s="290">
        <f t="shared" si="29"/>
        <v>0</v>
      </c>
      <c r="IP8" s="17">
        <v>2081441.3333333333</v>
      </c>
      <c r="IQ8" s="290">
        <v>2485936</v>
      </c>
      <c r="IR8" s="17">
        <v>855076.09094999998</v>
      </c>
      <c r="IS8" s="290">
        <v>1014416</v>
      </c>
      <c r="IT8" s="17">
        <v>225000</v>
      </c>
      <c r="IU8" s="17">
        <v>270000</v>
      </c>
      <c r="IV8" s="17">
        <f t="shared" si="30"/>
        <v>1080076.0909500001</v>
      </c>
      <c r="IW8" s="17">
        <f t="shared" si="30"/>
        <v>1284416</v>
      </c>
      <c r="IX8" s="314"/>
      <c r="IY8" s="315"/>
      <c r="IZ8" s="314"/>
      <c r="JA8" s="316">
        <v>3</v>
      </c>
      <c r="JB8" s="317">
        <v>3</v>
      </c>
      <c r="JC8" s="318">
        <f t="shared" si="8"/>
        <v>1.2</v>
      </c>
      <c r="JD8" s="319">
        <f t="shared" si="8"/>
        <v>1.1966936135710908</v>
      </c>
      <c r="JE8" s="17">
        <v>347788.07813316374</v>
      </c>
      <c r="JF8" s="290">
        <f t="shared" ref="JF8:JF25" si="70">JE8*$JD8</f>
        <v>416195.77197812061</v>
      </c>
      <c r="JG8" s="17">
        <v>43518.84</v>
      </c>
      <c r="JH8" s="290">
        <f t="shared" si="31"/>
        <v>52078.717898022129</v>
      </c>
      <c r="JI8" s="17">
        <v>277626.58186683635</v>
      </c>
      <c r="JJ8" s="290">
        <f t="shared" si="32"/>
        <v>333151.89824020362</v>
      </c>
      <c r="JK8" s="17">
        <v>372202.0235549981</v>
      </c>
      <c r="JL8" s="290">
        <v>425726.49232872151</v>
      </c>
      <c r="JM8" s="17">
        <v>34439.39999999998</v>
      </c>
      <c r="JN8" s="290">
        <f t="shared" si="33"/>
        <v>41213.4100352202</v>
      </c>
      <c r="JO8" s="17">
        <v>47062.981999999989</v>
      </c>
      <c r="JP8" s="290">
        <f t="shared" si="34"/>
        <v>56319.96999501119</v>
      </c>
      <c r="JQ8" s="17">
        <v>26193.61</v>
      </c>
      <c r="JR8" s="290">
        <f t="shared" si="35"/>
        <v>31345.725803371861</v>
      </c>
      <c r="JS8" s="17">
        <v>128791.51393333332</v>
      </c>
      <c r="JT8" s="290">
        <f t="shared" si="36"/>
        <v>154123.98220617214</v>
      </c>
      <c r="JU8" s="17">
        <f t="shared" si="37"/>
        <v>1277623.0294883316</v>
      </c>
      <c r="JV8" s="17">
        <f t="shared" si="37"/>
        <v>1510155.9684848431</v>
      </c>
      <c r="JW8" s="320">
        <f t="shared" si="9"/>
        <v>6.604526539494306</v>
      </c>
      <c r="KA8" s="283">
        <v>3</v>
      </c>
      <c r="KB8" s="306">
        <v>3</v>
      </c>
      <c r="KC8" s="97">
        <f t="shared" si="10"/>
        <v>12</v>
      </c>
      <c r="KD8" s="97">
        <f t="shared" si="11"/>
        <v>12</v>
      </c>
      <c r="KE8" s="289">
        <f t="shared" si="12"/>
        <v>22865469</v>
      </c>
      <c r="KF8" s="289">
        <f t="shared" si="13"/>
        <v>23856486.80075182</v>
      </c>
      <c r="KG8" s="321">
        <f t="shared" si="38"/>
        <v>1</v>
      </c>
      <c r="KH8" s="321">
        <f t="shared" si="39"/>
        <v>1.0433412409232377</v>
      </c>
      <c r="KI8" s="321">
        <f t="shared" si="40"/>
        <v>1.0474416793528269</v>
      </c>
      <c r="KJ8" s="306" t="s">
        <v>440</v>
      </c>
      <c r="KK8" s="322"/>
      <c r="KL8" s="323"/>
      <c r="KM8" s="322"/>
      <c r="KN8" s="283">
        <v>3</v>
      </c>
      <c r="KO8" s="306">
        <v>3</v>
      </c>
      <c r="KP8" s="324" t="str">
        <f t="shared" si="14"/>
        <v>Q4</v>
      </c>
      <c r="KQ8" s="325">
        <f t="shared" si="15"/>
        <v>1.0474416793528269</v>
      </c>
      <c r="KR8" s="17">
        <f t="shared" si="41"/>
        <v>0</v>
      </c>
      <c r="KS8" s="17">
        <f t="shared" si="42"/>
        <v>0</v>
      </c>
      <c r="KT8" s="17">
        <f t="shared" si="16"/>
        <v>2485936</v>
      </c>
      <c r="KU8" s="17">
        <f t="shared" si="43"/>
        <v>2596292.485208496</v>
      </c>
      <c r="KV8" s="17">
        <f t="shared" si="17"/>
        <v>1014416</v>
      </c>
      <c r="KW8" s="17">
        <f t="shared" si="18"/>
        <v>1425228.873556413</v>
      </c>
      <c r="KX8" s="17">
        <f t="shared" si="44"/>
        <v>270000</v>
      </c>
      <c r="KY8" s="17">
        <f t="shared" si="45"/>
        <v>51510.231528821081</v>
      </c>
      <c r="KZ8" s="17">
        <f t="shared" si="46"/>
        <v>1284416</v>
      </c>
      <c r="LA8" s="17">
        <f t="shared" si="46"/>
        <v>1476739.1050852342</v>
      </c>
      <c r="LB8" s="326"/>
      <c r="LC8" s="323"/>
      <c r="LD8" s="322"/>
      <c r="LE8" s="364">
        <f t="shared" ref="LE8:LE28" si="71">LE7+1</f>
        <v>3</v>
      </c>
      <c r="LF8" s="365">
        <v>2</v>
      </c>
      <c r="LG8" s="411">
        <f t="shared" ref="LG8:LH27" si="72">KG7</f>
        <v>1</v>
      </c>
      <c r="LH8" s="411">
        <f t="shared" si="72"/>
        <v>1.0433412409232377</v>
      </c>
      <c r="LI8" s="412">
        <v>106.45762205358784</v>
      </c>
      <c r="LJ8" s="343">
        <f t="shared" ref="LJ8:LJ26" si="73">JF7*LJ$6/LI8*KH7</f>
        <v>316409.40287824685</v>
      </c>
      <c r="LK8" s="412">
        <v>106.45762205358784</v>
      </c>
      <c r="LL8" s="343">
        <f t="shared" si="47"/>
        <v>12536.210816050187</v>
      </c>
      <c r="LM8" s="412">
        <v>106.45762205358784</v>
      </c>
      <c r="LN8" s="343">
        <f t="shared" si="48"/>
        <v>103286.30812571313</v>
      </c>
      <c r="LO8" s="412">
        <v>118.614283549666</v>
      </c>
      <c r="LP8" s="343">
        <f t="shared" ref="LP8:LP26" si="74">JL7*LP$6/LO8*LG8</f>
        <v>327503.78307503246</v>
      </c>
      <c r="LQ8" s="412">
        <v>119.48337591187899</v>
      </c>
      <c r="LR8" s="343">
        <f t="shared" si="49"/>
        <v>62239.667219090399</v>
      </c>
      <c r="LS8" s="412">
        <v>157.07111615098</v>
      </c>
      <c r="LT8" s="343">
        <f t="shared" si="50"/>
        <v>13751.165396453825</v>
      </c>
      <c r="LU8" s="412">
        <v>112.15574935818501</v>
      </c>
      <c r="LV8" s="343">
        <f t="shared" si="51"/>
        <v>43648.284477195062</v>
      </c>
      <c r="LW8" s="412">
        <v>116.939890710382</v>
      </c>
      <c r="LX8" s="343">
        <f t="shared" si="52"/>
        <v>141816.0984880311</v>
      </c>
      <c r="LY8" s="20">
        <f t="shared" si="53"/>
        <v>1029302.370829471</v>
      </c>
      <c r="LZ8" s="20">
        <f t="shared" ref="LZ8:LZ26" si="75">LJ8+LL8+LN8+LP8+LR8+LV8+LX8+LT8</f>
        <v>1021190.920475813</v>
      </c>
      <c r="MA8" s="103"/>
      <c r="MB8" s="335"/>
      <c r="MD8" s="283">
        <v>3</v>
      </c>
      <c r="ME8" s="336">
        <v>3</v>
      </c>
      <c r="MF8" s="17">
        <f t="shared" si="19"/>
        <v>1080076.0909500001</v>
      </c>
      <c r="MG8" s="17">
        <f t="shared" si="19"/>
        <v>1284416</v>
      </c>
      <c r="MH8" s="290">
        <f t="shared" si="20"/>
        <v>1476739.1050852342</v>
      </c>
      <c r="MI8" s="17">
        <f t="shared" si="21"/>
        <v>1277623.0294883316</v>
      </c>
      <c r="MJ8" s="17">
        <f t="shared" si="21"/>
        <v>1510155.9684848431</v>
      </c>
      <c r="MK8" s="290">
        <f t="shared" si="54"/>
        <v>1581800.3037144588</v>
      </c>
      <c r="ML8" s="17">
        <f t="shared" si="55"/>
        <v>-197546.93853833154</v>
      </c>
      <c r="MM8" s="17">
        <f t="shared" si="55"/>
        <v>-225739.96848484315</v>
      </c>
      <c r="MN8" s="17">
        <f t="shared" si="55"/>
        <v>-105061.19862922467</v>
      </c>
      <c r="MR8" s="283">
        <f t="shared" ref="MR8:MR13" si="76">MR7+1</f>
        <v>3</v>
      </c>
      <c r="MS8" s="413" t="s">
        <v>43</v>
      </c>
      <c r="MT8" s="32">
        <v>239866309.41368827</v>
      </c>
      <c r="MX8" s="338">
        <f>MX7+1</f>
        <v>2</v>
      </c>
      <c r="MY8" s="346" t="s">
        <v>184</v>
      </c>
      <c r="MZ8" s="20">
        <f>N8</f>
        <v>239866309.41368827</v>
      </c>
      <c r="NA8" s="414">
        <f t="shared" si="56"/>
        <v>10.882962386258297</v>
      </c>
      <c r="NC8" s="15">
        <f>MZ8</f>
        <v>239866309.41368827</v>
      </c>
      <c r="ND8" s="414">
        <f t="shared" si="57"/>
        <v>10.882962386258297</v>
      </c>
      <c r="NH8" s="338">
        <f>NH7+1</f>
        <v>2</v>
      </c>
      <c r="NI8" s="346" t="str">
        <f t="shared" si="58"/>
        <v>Less Purchases</v>
      </c>
      <c r="NJ8" s="20">
        <v>240527467.54057765</v>
      </c>
      <c r="NK8" s="20">
        <f>MZ8</f>
        <v>239866309.41368827</v>
      </c>
      <c r="NL8" s="20">
        <f t="shared" ref="NL8:NL32" si="77">NK8-NJ8</f>
        <v>-661158.12688937783</v>
      </c>
      <c r="NM8" s="352">
        <f t="shared" ref="NM8:NM31" si="78">NL8/NJ8</f>
        <v>-2.7487843016425501E-3</v>
      </c>
    </row>
    <row r="9" spans="2:387" ht="17.25" thickBot="1" x14ac:dyDescent="0.35">
      <c r="B9" s="226">
        <f t="shared" ref="B9:B22" si="79">B8+1</f>
        <v>4</v>
      </c>
      <c r="C9" s="339"/>
      <c r="D9" s="518" t="s">
        <v>194</v>
      </c>
      <c r="E9" s="340"/>
      <c r="F9" s="15">
        <f>F7-F8</f>
        <v>97424965.908500075</v>
      </c>
      <c r="G9" s="341">
        <f t="shared" si="22"/>
        <v>4.6875236286878099</v>
      </c>
      <c r="H9" s="15">
        <f>H7-H8</f>
        <v>93109688.080902457</v>
      </c>
      <c r="I9" s="342">
        <f t="shared" si="23"/>
        <v>4.4691335738219662</v>
      </c>
      <c r="J9" s="343">
        <f t="shared" si="59"/>
        <v>-4315277.8275976181</v>
      </c>
      <c r="K9" s="15">
        <f>IS26</f>
        <v>94967116</v>
      </c>
      <c r="L9" s="342">
        <f t="shared" si="24"/>
        <v>4.4954947913881655</v>
      </c>
      <c r="M9" s="343">
        <f t="shared" si="60"/>
        <v>1857427.9190975428</v>
      </c>
      <c r="N9" s="15">
        <f>KW26</f>
        <v>131674066.73842122</v>
      </c>
      <c r="O9" s="342">
        <f t="shared" si="25"/>
        <v>5.9741775285684477</v>
      </c>
      <c r="P9" s="343">
        <f t="shared" si="61"/>
        <v>36706950.738421217</v>
      </c>
      <c r="Q9" s="15">
        <f t="shared" si="62"/>
        <v>34249100.829921141</v>
      </c>
      <c r="R9" s="344">
        <f>O9/G9-1</f>
        <v>0.27448478168862356</v>
      </c>
      <c r="V9" s="275"/>
      <c r="W9" s="276" t="s">
        <v>26</v>
      </c>
      <c r="X9" s="415"/>
      <c r="Y9" s="416"/>
      <c r="Z9" s="416"/>
      <c r="AA9" s="416"/>
      <c r="AB9" s="279"/>
      <c r="AC9" s="349"/>
      <c r="AF9" s="417">
        <f t="shared" ref="AF9:AF21" si="80">AF8+1</f>
        <v>3</v>
      </c>
      <c r="AG9" s="418" t="s">
        <v>195</v>
      </c>
      <c r="AH9" s="419">
        <f>F14/AH7</f>
        <v>21.259502357287285</v>
      </c>
      <c r="AI9" s="419">
        <f>F15/AI7</f>
        <v>19.390851338774322</v>
      </c>
      <c r="AJ9" s="419">
        <f>F16/AJ7</f>
        <v>29.970456808704011</v>
      </c>
      <c r="AL9" s="420"/>
      <c r="AN9" s="338">
        <v>4</v>
      </c>
      <c r="AO9" s="96"/>
      <c r="AQ9" s="518" t="s">
        <v>196</v>
      </c>
      <c r="AR9" s="340"/>
      <c r="AS9" s="348">
        <v>40798541.478400007</v>
      </c>
      <c r="AT9" s="349">
        <v>3.9784808756709964</v>
      </c>
      <c r="AU9" s="350"/>
      <c r="AV9" s="348">
        <v>43143142.145199999</v>
      </c>
      <c r="AW9" s="349">
        <v>3.9977765121497129</v>
      </c>
      <c r="AX9" s="351">
        <f>AW9/AT9-1</f>
        <v>4.8500010636502999E-3</v>
      </c>
      <c r="AY9" s="350"/>
      <c r="AZ9" s="348">
        <v>52055496.75</v>
      </c>
      <c r="BA9" s="349">
        <v>4.0348819154069133</v>
      </c>
      <c r="BB9" s="351">
        <f>BA9/AW9-1</f>
        <v>9.2815101455603344E-3</v>
      </c>
      <c r="BC9" s="350"/>
      <c r="BD9" s="348">
        <v>59830706</v>
      </c>
      <c r="BE9" s="349">
        <v>4.0684254603524463</v>
      </c>
      <c r="BF9" s="351">
        <f>BE9/BA9-1</f>
        <v>8.313389499070345E-3</v>
      </c>
      <c r="BG9" s="350"/>
      <c r="BH9" s="348">
        <v>59786661.226033345</v>
      </c>
      <c r="BI9" s="349">
        <v>3.9342611202245616</v>
      </c>
      <c r="BJ9" s="351">
        <f>BI9/BE9-1</f>
        <v>-3.2976968961417885E-2</v>
      </c>
      <c r="BK9" s="350"/>
      <c r="BL9" s="348">
        <v>66021321</v>
      </c>
      <c r="BM9" s="349">
        <v>3.9248623221128827</v>
      </c>
      <c r="BN9" s="351">
        <f>BM9/BI9-1</f>
        <v>-2.3889614401452208E-3</v>
      </c>
      <c r="BO9" s="350"/>
      <c r="BP9" s="348">
        <v>81963127.490000069</v>
      </c>
      <c r="BQ9" s="349">
        <v>4.4189957395433002</v>
      </c>
      <c r="BR9" s="351">
        <f>BQ9/BM9-1</f>
        <v>0.12589828046870433</v>
      </c>
      <c r="BS9" s="350"/>
      <c r="BT9" s="518">
        <v>94550736.985399961</v>
      </c>
      <c r="BU9" s="518">
        <v>4.8189639488589151</v>
      </c>
      <c r="BV9" s="518">
        <f>BU9/BQ9-1</f>
        <v>9.0511109964761305E-2</v>
      </c>
      <c r="BW9" s="15">
        <v>96385423.959800005</v>
      </c>
      <c r="BX9" s="16">
        <v>4.9793229575775362</v>
      </c>
      <c r="BY9" s="16">
        <f t="shared" si="65"/>
        <v>3.3276656646620495E-2</v>
      </c>
      <c r="BZ9" s="16">
        <v>104384344.36159995</v>
      </c>
      <c r="CA9" s="16">
        <v>5.1171376873373191</v>
      </c>
      <c r="CB9" s="16">
        <f t="shared" si="66"/>
        <v>2.7677403320476746E-2</v>
      </c>
      <c r="CC9" s="15">
        <f t="shared" si="26"/>
        <v>97424965.908500075</v>
      </c>
      <c r="CD9" s="16">
        <f t="shared" si="26"/>
        <v>4.6875236286878099</v>
      </c>
      <c r="CE9" s="352">
        <f t="shared" si="67"/>
        <v>-8.3955931010536666E-2</v>
      </c>
      <c r="CF9" s="353">
        <f t="shared" si="68"/>
        <v>1.387952176184529</v>
      </c>
      <c r="CG9" s="352">
        <f t="shared" si="69"/>
        <v>4.9545869026245137E-2</v>
      </c>
      <c r="CK9" s="421">
        <v>4</v>
      </c>
      <c r="CL9" s="422" t="s">
        <v>72</v>
      </c>
      <c r="CM9" s="423">
        <f t="shared" ref="CM9:CT9" si="81">SUM(CM6:CM8)</f>
        <v>1768304.2516944832</v>
      </c>
      <c r="CN9" s="424">
        <f t="shared" si="81"/>
        <v>32588519.365899995</v>
      </c>
      <c r="CO9" s="424">
        <f t="shared" si="81"/>
        <v>5004749.0414000005</v>
      </c>
      <c r="CP9" s="425">
        <f t="shared" si="81"/>
        <v>37593268.407299995</v>
      </c>
      <c r="CQ9" s="423">
        <f t="shared" si="81"/>
        <v>1771580.4609369074</v>
      </c>
      <c r="CR9" s="424">
        <f t="shared" si="81"/>
        <v>32647547.262273327</v>
      </c>
      <c r="CS9" s="424">
        <f t="shared" si="81"/>
        <v>3737121.3062909618</v>
      </c>
      <c r="CT9" s="424">
        <f t="shared" si="81"/>
        <v>36384668.568564288</v>
      </c>
      <c r="CV9" s="106"/>
      <c r="CX9" s="421">
        <v>4</v>
      </c>
      <c r="CY9" s="422" t="s">
        <v>72</v>
      </c>
      <c r="CZ9" s="426">
        <f>SUM(CZ6:CZ8)</f>
        <v>110734.90699999999</v>
      </c>
      <c r="DA9" s="427">
        <f>SUM(DA6:DA8)</f>
        <v>2147244.1196499998</v>
      </c>
      <c r="DB9" s="426">
        <f>SUM(DB6:DB8)</f>
        <v>110738.507</v>
      </c>
      <c r="DC9" s="428">
        <f>SUM(DC6:DC8)</f>
        <v>2147299.9196499996</v>
      </c>
      <c r="DD9" s="428">
        <f>SUM(DD6:DD8)</f>
        <v>2147299.9196500001</v>
      </c>
      <c r="DF9" s="106"/>
      <c r="DH9" s="421">
        <v>4</v>
      </c>
      <c r="DI9" s="422" t="s">
        <v>72</v>
      </c>
      <c r="DJ9" s="426">
        <f>SUM(DJ6:DJ8)</f>
        <v>530227.1121017714</v>
      </c>
      <c r="DK9" s="429">
        <f>SUM(DK6:DK8)</f>
        <v>15891148.762049999</v>
      </c>
      <c r="DL9" s="426">
        <f>SUM(DL6:DL8)</f>
        <v>532725.79619268049</v>
      </c>
      <c r="DM9" s="430">
        <f>SUM(DM6:DM8)</f>
        <v>17229598.204603884</v>
      </c>
      <c r="DQ9" s="338">
        <v>4</v>
      </c>
      <c r="DR9" s="104" t="s">
        <v>197</v>
      </c>
      <c r="DS9" s="20">
        <v>680166.6370000001</v>
      </c>
      <c r="DT9" s="20">
        <v>746283.70999999985</v>
      </c>
      <c r="DU9" s="20">
        <v>1231080.0325</v>
      </c>
      <c r="DV9" s="20">
        <v>2657530.3794999998</v>
      </c>
      <c r="DW9" s="15"/>
      <c r="DX9" s="20"/>
      <c r="DY9" s="20"/>
      <c r="DZ9" s="20"/>
      <c r="ED9" s="431">
        <v>4</v>
      </c>
      <c r="EE9" s="432" t="s">
        <v>72</v>
      </c>
      <c r="EF9" s="433">
        <f t="shared" ref="EF9:EL9" si="82">SUM(EF6:EF8)</f>
        <v>462450.054</v>
      </c>
      <c r="EG9" s="433">
        <f t="shared" si="82"/>
        <v>1503959.5179999999</v>
      </c>
      <c r="EH9" s="433">
        <f t="shared" si="82"/>
        <v>2975958.0346999997</v>
      </c>
      <c r="EI9" s="434">
        <f t="shared" si="82"/>
        <v>4942367.6066999994</v>
      </c>
      <c r="EJ9" s="433">
        <f t="shared" si="82"/>
        <v>454226.32116146933</v>
      </c>
      <c r="EK9" s="433">
        <f t="shared" si="82"/>
        <v>1511364.4405120066</v>
      </c>
      <c r="EL9" s="433">
        <f t="shared" si="82"/>
        <v>2981156.4268586496</v>
      </c>
      <c r="EM9" s="433">
        <f>SUM(EM6:EM8)</f>
        <v>4946747.1885321252</v>
      </c>
      <c r="EN9" s="103"/>
      <c r="EO9" s="408"/>
      <c r="EQ9" s="431">
        <v>4</v>
      </c>
      <c r="ER9" s="432" t="s">
        <v>72</v>
      </c>
      <c r="ES9" s="433">
        <f t="shared" ref="ES9:EZ9" si="83">SUM(ES6:ES8)</f>
        <v>1110499.9328000001</v>
      </c>
      <c r="ET9" s="433">
        <f t="shared" si="83"/>
        <v>1020073.0299999999</v>
      </c>
      <c r="EU9" s="433">
        <f t="shared" si="83"/>
        <v>1386160.8160000001</v>
      </c>
      <c r="EV9" s="434">
        <f t="shared" si="83"/>
        <v>3516733.7788</v>
      </c>
      <c r="EW9" s="433">
        <f t="shared" si="83"/>
        <v>1044966.8286657071</v>
      </c>
      <c r="EX9" s="433">
        <f t="shared" si="83"/>
        <v>985240.73378442356</v>
      </c>
      <c r="EY9" s="433">
        <f t="shared" si="83"/>
        <v>1344674.172341411</v>
      </c>
      <c r="EZ9" s="434">
        <f t="shared" si="83"/>
        <v>3374881.7347915415</v>
      </c>
      <c r="FA9" s="433">
        <v>2410584.5434436779</v>
      </c>
      <c r="FB9" s="433">
        <v>965412.54600632284</v>
      </c>
      <c r="FC9" s="433">
        <f t="shared" si="27"/>
        <v>3375997.0894500008</v>
      </c>
      <c r="FD9" s="103"/>
      <c r="FE9" s="408"/>
      <c r="FG9" s="338">
        <f t="shared" ref="FG9:FG36" si="84">FG8+1</f>
        <v>4</v>
      </c>
      <c r="FH9" s="360"/>
      <c r="FI9" s="361" t="s">
        <v>198</v>
      </c>
      <c r="FJ9" s="20">
        <v>189887.30370000005</v>
      </c>
      <c r="FK9" s="20">
        <v>178441.77000000002</v>
      </c>
      <c r="FL9" s="20">
        <v>260899.5</v>
      </c>
      <c r="FM9" s="343">
        <f t="shared" si="28"/>
        <v>629228.57370000007</v>
      </c>
      <c r="FN9" s="20">
        <v>191392.48006363638</v>
      </c>
      <c r="FO9" s="20">
        <v>178638.77</v>
      </c>
      <c r="FP9" s="20">
        <v>260899.49999999994</v>
      </c>
      <c r="FQ9" s="20">
        <v>630930.75006363634</v>
      </c>
      <c r="FR9" s="20">
        <v>630930.75006363634</v>
      </c>
      <c r="FS9" s="103"/>
      <c r="FT9" s="408"/>
      <c r="FV9" s="338">
        <v>4</v>
      </c>
      <c r="FW9" s="340" t="s">
        <v>199</v>
      </c>
      <c r="FX9" s="20">
        <v>27606.560000000001</v>
      </c>
      <c r="FY9" s="20">
        <v>0</v>
      </c>
      <c r="FZ9" s="20">
        <v>0</v>
      </c>
      <c r="GA9" s="343">
        <v>27606.560000000001</v>
      </c>
      <c r="GB9" s="20">
        <v>0</v>
      </c>
      <c r="GC9" s="20">
        <v>0</v>
      </c>
      <c r="GD9" s="20">
        <v>0</v>
      </c>
      <c r="GE9" s="343">
        <f t="shared" si="1"/>
        <v>0</v>
      </c>
      <c r="GF9" s="300"/>
      <c r="GG9" s="301"/>
      <c r="GI9" s="338">
        <v>4</v>
      </c>
      <c r="GJ9" s="362" t="s">
        <v>200</v>
      </c>
      <c r="GK9" s="20">
        <v>0</v>
      </c>
      <c r="GL9" s="20">
        <v>0</v>
      </c>
      <c r="GM9" s="20">
        <v>0</v>
      </c>
      <c r="GN9" s="343">
        <f t="shared" si="2"/>
        <v>0</v>
      </c>
      <c r="GO9" s="20">
        <v>0</v>
      </c>
      <c r="GP9" s="20">
        <v>0</v>
      </c>
      <c r="GQ9" s="20">
        <v>0</v>
      </c>
      <c r="GR9" s="343">
        <f t="shared" si="3"/>
        <v>0</v>
      </c>
      <c r="GS9" s="300"/>
      <c r="GT9" s="301"/>
      <c r="GV9" s="338">
        <v>4</v>
      </c>
      <c r="GW9" s="340" t="s">
        <v>201</v>
      </c>
      <c r="GX9" s="20">
        <v>15</v>
      </c>
      <c r="GY9" s="20">
        <v>102.05</v>
      </c>
      <c r="GZ9" s="20">
        <v>28</v>
      </c>
      <c r="HA9" s="343">
        <f t="shared" si="4"/>
        <v>145.05000000000001</v>
      </c>
      <c r="HB9" s="20">
        <v>15</v>
      </c>
      <c r="HC9" s="20">
        <v>102.05</v>
      </c>
      <c r="HD9" s="20">
        <v>28</v>
      </c>
      <c r="HE9" s="20">
        <f>SUM(HB9:HD9)</f>
        <v>145.05000000000001</v>
      </c>
      <c r="HF9" s="300"/>
      <c r="HG9" s="301"/>
      <c r="HI9" s="435">
        <v>4</v>
      </c>
      <c r="HJ9" s="436" t="s">
        <v>202</v>
      </c>
      <c r="HK9" s="436">
        <f>HK7-HK8</f>
        <v>15547930.827358045</v>
      </c>
      <c r="HL9" s="436">
        <f>HL7-HL8</f>
        <v>30873007.267200008</v>
      </c>
      <c r="HM9" s="436">
        <f>HM7-HM8</f>
        <v>57974601.33160001</v>
      </c>
      <c r="HN9" s="436">
        <f>SUM(HK9:HM9)</f>
        <v>104395539.42615807</v>
      </c>
      <c r="HO9" s="436">
        <f>HO7-HO8</f>
        <v>13275900.142986365</v>
      </c>
      <c r="HP9" s="436">
        <f>HP7-HP8</f>
        <v>29046739.107620001</v>
      </c>
      <c r="HQ9" s="436">
        <f>HQ7-HQ8</f>
        <v>55553147.771600008</v>
      </c>
      <c r="HR9" s="436">
        <f>SUM(HO9:HQ9)</f>
        <v>97875787.022206366</v>
      </c>
      <c r="HW9" s="338">
        <v>4</v>
      </c>
      <c r="HX9" s="322">
        <v>4</v>
      </c>
      <c r="HY9" s="322">
        <v>11</v>
      </c>
      <c r="HZ9" s="322">
        <v>10</v>
      </c>
      <c r="IA9" s="347">
        <v>26264261</v>
      </c>
      <c r="IB9" s="347">
        <v>23590721</v>
      </c>
      <c r="IC9" s="342">
        <f t="shared" si="5"/>
        <v>0.90909090909090906</v>
      </c>
      <c r="ID9" s="342">
        <f t="shared" si="6"/>
        <v>0.89820615931283965</v>
      </c>
      <c r="IE9" s="344">
        <v>1</v>
      </c>
      <c r="IF9" s="344">
        <v>0</v>
      </c>
      <c r="IG9" s="344">
        <v>0</v>
      </c>
      <c r="IK9" s="364">
        <v>4</v>
      </c>
      <c r="IL9" s="365">
        <v>4</v>
      </c>
      <c r="IM9" s="341">
        <f t="shared" si="7"/>
        <v>0.89820615931283965</v>
      </c>
      <c r="IN9" s="20">
        <v>7664</v>
      </c>
      <c r="IO9" s="343">
        <f t="shared" si="29"/>
        <v>6883.8520049736035</v>
      </c>
      <c r="IP9" s="20">
        <v>2868589</v>
      </c>
      <c r="IQ9" s="343">
        <v>2570986</v>
      </c>
      <c r="IR9" s="20">
        <v>1172360.9693000002</v>
      </c>
      <c r="IS9" s="343">
        <v>1051227</v>
      </c>
      <c r="IT9" s="20">
        <v>247500</v>
      </c>
      <c r="IU9" s="20">
        <v>225000</v>
      </c>
      <c r="IV9" s="20">
        <f t="shared" si="30"/>
        <v>1427524.9693000002</v>
      </c>
      <c r="IW9" s="20">
        <f t="shared" si="30"/>
        <v>1283110.8520049737</v>
      </c>
      <c r="IX9" s="314"/>
      <c r="IY9" s="315"/>
      <c r="IZ9" s="314"/>
      <c r="JA9" s="366">
        <v>4</v>
      </c>
      <c r="JB9" s="365">
        <v>4</v>
      </c>
      <c r="JC9" s="367">
        <f t="shared" si="8"/>
        <v>0.90909090909090906</v>
      </c>
      <c r="JD9" s="368">
        <f t="shared" si="8"/>
        <v>0.89820615931283965</v>
      </c>
      <c r="JE9" s="20">
        <v>542390.29433242558</v>
      </c>
      <c r="JF9" s="343">
        <f t="shared" si="70"/>
        <v>487178.30312088865</v>
      </c>
      <c r="JG9" s="20">
        <v>53126.451000000001</v>
      </c>
      <c r="JH9" s="343">
        <f t="shared" si="31"/>
        <v>47718.505510631767</v>
      </c>
      <c r="JI9" s="20">
        <v>406583.4446675746</v>
      </c>
      <c r="JJ9" s="343">
        <f t="shared" si="32"/>
        <v>369621.31333415874</v>
      </c>
      <c r="JK9" s="20">
        <v>414159.29905448295</v>
      </c>
      <c r="JL9" s="343">
        <v>370890.46616913925</v>
      </c>
      <c r="JM9" s="20">
        <v>34921.061000000002</v>
      </c>
      <c r="JN9" s="343">
        <f t="shared" si="33"/>
        <v>31366.312079939391</v>
      </c>
      <c r="JO9" s="20">
        <v>43741.144</v>
      </c>
      <c r="JP9" s="343">
        <f t="shared" si="34"/>
        <v>39288.564956189861</v>
      </c>
      <c r="JQ9" s="20">
        <v>36874.22</v>
      </c>
      <c r="JR9" s="343">
        <f t="shared" si="35"/>
        <v>33120.651523856701</v>
      </c>
      <c r="JS9" s="20">
        <v>141721.51135000002</v>
      </c>
      <c r="JT9" s="343">
        <f t="shared" si="36"/>
        <v>127295.13440169452</v>
      </c>
      <c r="JU9" s="20">
        <f t="shared" si="37"/>
        <v>1673517.4254044832</v>
      </c>
      <c r="JV9" s="20">
        <f t="shared" si="37"/>
        <v>1506479.2510964985</v>
      </c>
      <c r="JW9" s="369">
        <f t="shared" si="9"/>
        <v>6.3858974513602131</v>
      </c>
      <c r="KA9" s="338">
        <v>4</v>
      </c>
      <c r="KB9" s="322">
        <v>4</v>
      </c>
      <c r="KC9" s="518">
        <f t="shared" si="10"/>
        <v>10</v>
      </c>
      <c r="KD9" s="518">
        <f t="shared" si="11"/>
        <v>10</v>
      </c>
      <c r="KE9" s="370">
        <f t="shared" si="12"/>
        <v>23590721</v>
      </c>
      <c r="KF9" s="370">
        <f t="shared" si="13"/>
        <v>24613172.122413881</v>
      </c>
      <c r="KG9" s="371">
        <f t="shared" si="38"/>
        <v>1</v>
      </c>
      <c r="KH9" s="371">
        <f t="shared" si="39"/>
        <v>1.0433412409232377</v>
      </c>
      <c r="KI9" s="371">
        <f t="shared" si="40"/>
        <v>1.0473301042614831</v>
      </c>
      <c r="KJ9" s="322" t="s">
        <v>440</v>
      </c>
      <c r="KK9" s="322"/>
      <c r="KL9" s="323"/>
      <c r="KM9" s="322"/>
      <c r="KN9" s="338">
        <v>4</v>
      </c>
      <c r="KO9" s="322">
        <v>4</v>
      </c>
      <c r="KP9" s="437" t="str">
        <f t="shared" si="14"/>
        <v>Q4</v>
      </c>
      <c r="KQ9" s="373">
        <f t="shared" si="15"/>
        <v>1.0473301042614831</v>
      </c>
      <c r="KR9" s="358">
        <f t="shared" si="41"/>
        <v>6883.8520049736035</v>
      </c>
      <c r="KS9" s="358">
        <f t="shared" si="42"/>
        <v>7209.6654380896234</v>
      </c>
      <c r="KT9" s="358">
        <f t="shared" si="16"/>
        <v>2570986</v>
      </c>
      <c r="KU9" s="358">
        <f t="shared" si="43"/>
        <v>2678642.2641473156</v>
      </c>
      <c r="KV9" s="358">
        <f t="shared" si="17"/>
        <v>1051227</v>
      </c>
      <c r="KW9" s="358">
        <f t="shared" si="18"/>
        <v>1470434.5980051239</v>
      </c>
      <c r="KX9" s="358">
        <f t="shared" si="44"/>
        <v>225000</v>
      </c>
      <c r="KY9" s="358">
        <f t="shared" si="45"/>
        <v>53144.044438442164</v>
      </c>
      <c r="KZ9" s="358">
        <f t="shared" si="46"/>
        <v>1283110.8520049737</v>
      </c>
      <c r="LA9" s="358">
        <f t="shared" si="46"/>
        <v>1530788.3078816556</v>
      </c>
      <c r="LB9" s="326"/>
      <c r="LC9" s="323"/>
      <c r="LD9" s="322"/>
      <c r="LE9" s="374">
        <f t="shared" si="71"/>
        <v>4</v>
      </c>
      <c r="LF9" s="375">
        <v>3</v>
      </c>
      <c r="LG9" s="376">
        <f t="shared" si="72"/>
        <v>1</v>
      </c>
      <c r="LH9" s="376">
        <f t="shared" si="72"/>
        <v>1.0433412409232377</v>
      </c>
      <c r="LI9" s="377">
        <v>92.086954396969617</v>
      </c>
      <c r="LJ9" s="290">
        <f t="shared" si="73"/>
        <v>442768.93012926949</v>
      </c>
      <c r="LK9" s="377">
        <v>92.086954396969617</v>
      </c>
      <c r="LL9" s="290">
        <f t="shared" si="47"/>
        <v>55403.826176839444</v>
      </c>
      <c r="LM9" s="377">
        <v>92.086954396969617</v>
      </c>
      <c r="LN9" s="290">
        <f t="shared" si="48"/>
        <v>339699.87870464643</v>
      </c>
      <c r="LO9" s="377">
        <v>119.50379714140099</v>
      </c>
      <c r="LP9" s="290">
        <f t="shared" si="74"/>
        <v>442005.11186349811</v>
      </c>
      <c r="LQ9" s="377">
        <v>120.433043671646</v>
      </c>
      <c r="LR9" s="290">
        <f t="shared" si="49"/>
        <v>44601.153084552257</v>
      </c>
      <c r="LS9" s="377">
        <v>146.40099357416699</v>
      </c>
      <c r="LT9" s="290">
        <f t="shared" si="50"/>
        <v>57321.417237248221</v>
      </c>
      <c r="LU9" s="377">
        <v>116.183248398364</v>
      </c>
      <c r="LV9" s="290">
        <f t="shared" si="51"/>
        <v>33189.667447871005</v>
      </c>
      <c r="LW9" s="377">
        <v>117.5956284153</v>
      </c>
      <c r="LX9" s="378">
        <f t="shared" si="52"/>
        <v>166810.31907053394</v>
      </c>
      <c r="LY9" s="379">
        <f t="shared" si="53"/>
        <v>1510155.9684848431</v>
      </c>
      <c r="LZ9" s="379">
        <f t="shared" si="75"/>
        <v>1581800.3037144588</v>
      </c>
      <c r="MA9" s="103"/>
      <c r="MB9" s="335"/>
      <c r="MD9" s="338">
        <v>4</v>
      </c>
      <c r="ME9" s="380">
        <v>4</v>
      </c>
      <c r="MF9" s="20">
        <f t="shared" si="19"/>
        <v>1427524.9693000002</v>
      </c>
      <c r="MG9" s="20">
        <f t="shared" si="19"/>
        <v>1283110.8520049737</v>
      </c>
      <c r="MH9" s="343">
        <f t="shared" si="20"/>
        <v>1530788.3078816556</v>
      </c>
      <c r="MI9" s="20">
        <f t="shared" si="21"/>
        <v>1673517.4254044832</v>
      </c>
      <c r="MJ9" s="20">
        <f t="shared" si="21"/>
        <v>1506479.2510964985</v>
      </c>
      <c r="MK9" s="343">
        <f t="shared" si="54"/>
        <v>1577781.0711186568</v>
      </c>
      <c r="ML9" s="20">
        <f t="shared" si="55"/>
        <v>-245992.45610448299</v>
      </c>
      <c r="MM9" s="20">
        <f t="shared" si="55"/>
        <v>-223368.39909152477</v>
      </c>
      <c r="MN9" s="20">
        <f t="shared" si="55"/>
        <v>-46992.763237001142</v>
      </c>
      <c r="MR9" s="338">
        <f t="shared" si="76"/>
        <v>4</v>
      </c>
      <c r="MS9" s="346" t="s">
        <v>203</v>
      </c>
      <c r="MT9" s="20">
        <f>MT7+MT8</f>
        <v>333475187.01949108</v>
      </c>
      <c r="MX9" s="283">
        <f t="shared" ref="MX9:MX24" si="85">MX8+1</f>
        <v>3</v>
      </c>
      <c r="MY9" s="388" t="s">
        <v>204</v>
      </c>
      <c r="MZ9" s="17">
        <f>N9</f>
        <v>131674066.73842122</v>
      </c>
      <c r="NA9" s="381">
        <f t="shared" si="56"/>
        <v>5.9741775285684477</v>
      </c>
      <c r="NB9" s="97"/>
      <c r="NC9" s="18">
        <f>MZ30</f>
        <v>108434528.53642493</v>
      </c>
      <c r="ND9" s="381">
        <f t="shared" si="57"/>
        <v>4.9197775974378724</v>
      </c>
      <c r="NH9" s="283">
        <f t="shared" ref="NH9:NH24" si="86">NH8+1</f>
        <v>3</v>
      </c>
      <c r="NI9" s="388" t="str">
        <f t="shared" si="58"/>
        <v>Base Handling Commissions (HC)</v>
      </c>
      <c r="NJ9" s="17">
        <v>101297214.72157842</v>
      </c>
      <c r="NK9" s="17">
        <f>MZ9</f>
        <v>131674066.73842122</v>
      </c>
      <c r="NL9" s="17">
        <f t="shared" si="77"/>
        <v>30376852.016842797</v>
      </c>
      <c r="NM9" s="383">
        <f t="shared" si="78"/>
        <v>0.29987845273273733</v>
      </c>
    </row>
    <row r="10" spans="2:387" x14ac:dyDescent="0.3">
      <c r="B10" s="265">
        <f t="shared" si="79"/>
        <v>5</v>
      </c>
      <c r="C10" s="384"/>
      <c r="D10" s="97" t="s">
        <v>205</v>
      </c>
      <c r="E10" s="286"/>
      <c r="F10" s="18">
        <f>HA14+GE14</f>
        <v>2435490.3939</v>
      </c>
      <c r="G10" s="313">
        <f t="shared" si="22"/>
        <v>0.11718165526042415</v>
      </c>
      <c r="H10" s="18">
        <f>HE14</f>
        <v>215937.90000000002</v>
      </c>
      <c r="I10" s="309">
        <f t="shared" si="23"/>
        <v>1.0364714334689638E-2</v>
      </c>
      <c r="J10" s="290">
        <f t="shared" si="59"/>
        <v>-2219552.4939000001</v>
      </c>
      <c r="K10" s="18">
        <f>IO26</f>
        <v>214148.01155062864</v>
      </c>
      <c r="L10" s="309">
        <f t="shared" si="24"/>
        <v>1.0137206551707684E-2</v>
      </c>
      <c r="M10" s="290">
        <f t="shared" si="60"/>
        <v>-1789.8884493713849</v>
      </c>
      <c r="N10" s="18">
        <f>KS26</f>
        <v>206485.35942255295</v>
      </c>
      <c r="O10" s="309">
        <f t="shared" si="25"/>
        <v>9.3684369655809251E-3</v>
      </c>
      <c r="P10" s="290">
        <f t="shared" si="61"/>
        <v>-7662.6521280756861</v>
      </c>
      <c r="Q10" s="18">
        <f t="shared" si="62"/>
        <v>-2229005.0344774472</v>
      </c>
      <c r="R10" s="310">
        <f t="shared" si="63"/>
        <v>-0.92005201714585327</v>
      </c>
      <c r="V10" s="249">
        <f>V8+1</f>
        <v>3</v>
      </c>
      <c r="W10" s="345" t="s">
        <v>176</v>
      </c>
      <c r="X10" s="20">
        <v>-3111364.09752667</v>
      </c>
      <c r="Y10" s="20">
        <v>1633.1694328281737</v>
      </c>
      <c r="Z10" s="20">
        <v>6268605.8697440196</v>
      </c>
      <c r="AA10" s="20">
        <f>SUM(X10:Z10)</f>
        <v>3158874.9416501778</v>
      </c>
      <c r="AB10" s="20"/>
      <c r="AF10" s="385">
        <f t="shared" si="80"/>
        <v>4</v>
      </c>
      <c r="AG10" s="282" t="s">
        <v>26</v>
      </c>
      <c r="AH10" s="97"/>
      <c r="AI10" s="97"/>
      <c r="AJ10" s="97"/>
      <c r="AN10" s="283">
        <v>5</v>
      </c>
      <c r="AO10" s="390"/>
      <c r="AP10" s="97"/>
      <c r="AQ10" s="97" t="s">
        <v>205</v>
      </c>
      <c r="AR10" s="286"/>
      <c r="AS10" s="392">
        <v>351000.77</v>
      </c>
      <c r="AT10" s="393">
        <v>3.4227935612112924E-2</v>
      </c>
      <c r="AU10" s="394"/>
      <c r="AV10" s="392">
        <v>392967.44999999995</v>
      </c>
      <c r="AW10" s="393">
        <v>3.6413574986312203E-2</v>
      </c>
      <c r="AX10" s="383">
        <f>AW10/AT10-1</f>
        <v>6.3855424965384211E-2</v>
      </c>
      <c r="AY10" s="394"/>
      <c r="AZ10" s="392">
        <v>419971.50999999995</v>
      </c>
      <c r="BA10" s="393">
        <v>3.2552478729062043E-2</v>
      </c>
      <c r="BB10" s="383">
        <f>BA10/AW10-1</f>
        <v>-0.10603452857077444</v>
      </c>
      <c r="BC10" s="394"/>
      <c r="BD10" s="392">
        <v>465783.3236</v>
      </c>
      <c r="BE10" s="393">
        <v>3.1672779070028398E-2</v>
      </c>
      <c r="BF10" s="383">
        <f>BE10/BA10-1</f>
        <v>-2.7024045276413E-2</v>
      </c>
      <c r="BG10" s="394"/>
      <c r="BH10" s="392">
        <v>1360261.3124000002</v>
      </c>
      <c r="BI10" s="393">
        <v>8.9511992892331985E-2</v>
      </c>
      <c r="BJ10" s="383">
        <f>BI10/BE10-1</f>
        <v>1.8261489998847686</v>
      </c>
      <c r="BK10" s="394"/>
      <c r="BL10" s="392">
        <v>1390376.9787000001</v>
      </c>
      <c r="BM10" s="393">
        <v>8.2655695684016636E-2</v>
      </c>
      <c r="BN10" s="383">
        <f>BM10/BI10-1</f>
        <v>-7.6596408891960732E-2</v>
      </c>
      <c r="BO10" s="394"/>
      <c r="BP10" s="392">
        <v>770218.05</v>
      </c>
      <c r="BQ10" s="393">
        <v>4.1525871275282955E-2</v>
      </c>
      <c r="BR10" s="383">
        <f>BQ10/BM10-1</f>
        <v>-0.49760423729259196</v>
      </c>
      <c r="BS10" s="394"/>
      <c r="BT10" s="97">
        <v>1472526.2590000001</v>
      </c>
      <c r="BU10" s="97">
        <v>7.5050191908761346E-2</v>
      </c>
      <c r="BV10" s="97">
        <f>BU10/BQ10-1</f>
        <v>0.8073116735164747</v>
      </c>
      <c r="BW10" s="18">
        <v>11886052.370000001</v>
      </c>
      <c r="BX10" s="19">
        <v>0.6140398725184244</v>
      </c>
      <c r="BY10" s="19">
        <f t="shared" si="65"/>
        <v>7.1817228830662252</v>
      </c>
      <c r="BZ10" s="19">
        <v>6021594.1700000009</v>
      </c>
      <c r="CA10" s="19">
        <v>0.29519107155012259</v>
      </c>
      <c r="CB10" s="19">
        <f t="shared" si="66"/>
        <v>-0.51926400098510661</v>
      </c>
      <c r="CC10" s="18">
        <f t="shared" si="26"/>
        <v>2435490.3939</v>
      </c>
      <c r="CD10" s="19">
        <f t="shared" si="26"/>
        <v>0.11718165526042415</v>
      </c>
      <c r="CE10" s="395">
        <f t="shared" si="67"/>
        <v>-0.60303116674541068</v>
      </c>
      <c r="CF10" s="396">
        <f t="shared" si="68"/>
        <v>5.9387038492821533</v>
      </c>
      <c r="CG10" s="395">
        <f t="shared" si="69"/>
        <v>0.11362170310487252</v>
      </c>
      <c r="CV10" s="106"/>
      <c r="CX10" s="438"/>
      <c r="CY10" s="439"/>
      <c r="CZ10" s="440"/>
      <c r="DA10" s="518"/>
      <c r="DB10" s="440"/>
      <c r="DF10" s="106"/>
      <c r="DK10" s="518"/>
      <c r="DQ10" s="283">
        <v>5</v>
      </c>
      <c r="DR10" s="441" t="s">
        <v>206</v>
      </c>
      <c r="DS10" s="17"/>
      <c r="DT10" s="17"/>
      <c r="DU10" s="17"/>
      <c r="DV10" s="17"/>
      <c r="DW10" s="18">
        <v>2956744.1022613361</v>
      </c>
      <c r="DX10" s="17">
        <v>4613072.506473586</v>
      </c>
      <c r="DY10" s="17">
        <v>6654109.4956538649</v>
      </c>
      <c r="DZ10" s="17">
        <v>14223926.104388788</v>
      </c>
      <c r="EN10" s="103"/>
      <c r="EO10" s="408"/>
      <c r="FB10" s="442" t="s">
        <v>207</v>
      </c>
      <c r="FD10" s="103"/>
      <c r="FE10" s="408"/>
      <c r="FG10" s="283">
        <f t="shared" si="84"/>
        <v>5</v>
      </c>
      <c r="FH10" s="406"/>
      <c r="FI10" s="407" t="s">
        <v>208</v>
      </c>
      <c r="FJ10" s="17">
        <v>38248.1</v>
      </c>
      <c r="FK10" s="17">
        <v>179410.81</v>
      </c>
      <c r="FL10" s="17">
        <v>22647.81</v>
      </c>
      <c r="FM10" s="290">
        <f t="shared" si="28"/>
        <v>240306.72</v>
      </c>
      <c r="FN10" s="17">
        <v>0</v>
      </c>
      <c r="FO10" s="17">
        <v>0</v>
      </c>
      <c r="FP10" s="17">
        <v>0</v>
      </c>
      <c r="FQ10" s="17">
        <v>0</v>
      </c>
      <c r="FR10" s="17">
        <v>0</v>
      </c>
      <c r="FS10" s="103"/>
      <c r="FT10" s="408"/>
      <c r="FV10" s="283">
        <v>5</v>
      </c>
      <c r="FW10" s="286" t="s">
        <v>209</v>
      </c>
      <c r="FX10" s="17">
        <v>0</v>
      </c>
      <c r="FY10" s="17">
        <v>0</v>
      </c>
      <c r="FZ10" s="17">
        <v>0</v>
      </c>
      <c r="GA10" s="290">
        <v>0</v>
      </c>
      <c r="GB10" s="17">
        <v>0</v>
      </c>
      <c r="GC10" s="17">
        <v>0</v>
      </c>
      <c r="GD10" s="17">
        <v>0</v>
      </c>
      <c r="GE10" s="290">
        <f t="shared" si="1"/>
        <v>0</v>
      </c>
      <c r="GF10" s="300"/>
      <c r="GG10" s="301"/>
      <c r="GI10" s="283">
        <v>5</v>
      </c>
      <c r="GJ10" s="97" t="s">
        <v>210</v>
      </c>
      <c r="GK10" s="17">
        <v>0</v>
      </c>
      <c r="GL10" s="17">
        <v>0</v>
      </c>
      <c r="GM10" s="17">
        <v>0</v>
      </c>
      <c r="GN10" s="290">
        <f t="shared" si="2"/>
        <v>0</v>
      </c>
      <c r="GO10" s="17">
        <v>0</v>
      </c>
      <c r="GP10" s="17">
        <v>0</v>
      </c>
      <c r="GQ10" s="17">
        <v>0</v>
      </c>
      <c r="GR10" s="290">
        <f t="shared" si="3"/>
        <v>0</v>
      </c>
      <c r="GS10" s="300"/>
      <c r="GT10" s="301"/>
      <c r="GV10" s="283">
        <v>5</v>
      </c>
      <c r="GW10" s="286" t="s">
        <v>211</v>
      </c>
      <c r="GX10" s="17">
        <v>0</v>
      </c>
      <c r="GY10" s="17">
        <v>9554</v>
      </c>
      <c r="GZ10" s="17">
        <v>149254.37</v>
      </c>
      <c r="HA10" s="290">
        <f t="shared" si="4"/>
        <v>158808.37</v>
      </c>
      <c r="HB10" s="17">
        <v>0</v>
      </c>
      <c r="HC10" s="17">
        <v>9554</v>
      </c>
      <c r="HD10" s="17">
        <v>149254.37</v>
      </c>
      <c r="HE10" s="17">
        <f>SUM(HB10:HD10)</f>
        <v>158808.37</v>
      </c>
      <c r="HF10" s="300"/>
      <c r="HG10" s="301"/>
      <c r="HS10" s="305"/>
      <c r="HT10" s="443"/>
      <c r="HW10" s="283">
        <v>5</v>
      </c>
      <c r="HX10" s="306">
        <v>5</v>
      </c>
      <c r="HY10" s="306">
        <v>10</v>
      </c>
      <c r="HZ10" s="306">
        <v>11</v>
      </c>
      <c r="IA10" s="307">
        <v>27116157</v>
      </c>
      <c r="IB10" s="307">
        <v>29685742</v>
      </c>
      <c r="IC10" s="309">
        <f t="shared" si="5"/>
        <v>1.1000000000000001</v>
      </c>
      <c r="ID10" s="309">
        <f t="shared" si="6"/>
        <v>1.0947621375698628</v>
      </c>
      <c r="IE10" s="310">
        <v>1</v>
      </c>
      <c r="IF10" s="310">
        <v>0</v>
      </c>
      <c r="IG10" s="310">
        <v>0</v>
      </c>
      <c r="IK10" s="410">
        <v>5</v>
      </c>
      <c r="IL10" s="317">
        <v>5</v>
      </c>
      <c r="IM10" s="313">
        <f t="shared" si="7"/>
        <v>1.0947621375698628</v>
      </c>
      <c r="IN10" s="17">
        <v>0</v>
      </c>
      <c r="IO10" s="290">
        <f t="shared" si="29"/>
        <v>0</v>
      </c>
      <c r="IP10" s="17">
        <v>2939956</v>
      </c>
      <c r="IQ10" s="290">
        <v>3212808</v>
      </c>
      <c r="IR10" s="17">
        <v>1207459.2149000003</v>
      </c>
      <c r="IS10" s="290">
        <v>1313046</v>
      </c>
      <c r="IT10" s="17">
        <v>225000</v>
      </c>
      <c r="IU10" s="17">
        <v>247500</v>
      </c>
      <c r="IV10" s="17">
        <f t="shared" si="30"/>
        <v>1432459.2149000003</v>
      </c>
      <c r="IW10" s="17">
        <f t="shared" si="30"/>
        <v>1560546</v>
      </c>
      <c r="IX10" s="314"/>
      <c r="IY10" s="315"/>
      <c r="IZ10" s="314"/>
      <c r="JA10" s="316">
        <v>5</v>
      </c>
      <c r="JB10" s="317">
        <v>5</v>
      </c>
      <c r="JC10" s="318">
        <f t="shared" si="8"/>
        <v>1.1000000000000001</v>
      </c>
      <c r="JD10" s="319">
        <f t="shared" si="8"/>
        <v>1.0947621375698628</v>
      </c>
      <c r="JE10" s="17">
        <v>376466.18503357458</v>
      </c>
      <c r="JF10" s="290">
        <f t="shared" si="70"/>
        <v>412140.92545012763</v>
      </c>
      <c r="JG10" s="17">
        <v>40193.666000000005</v>
      </c>
      <c r="JH10" s="290">
        <f t="shared" si="31"/>
        <v>44002.503706929121</v>
      </c>
      <c r="JI10" s="17">
        <v>312146.12896642543</v>
      </c>
      <c r="JJ10" s="290">
        <f t="shared" si="32"/>
        <v>343360.74186306802</v>
      </c>
      <c r="JK10" s="17">
        <v>390543.88054603967</v>
      </c>
      <c r="JL10" s="290">
        <v>418603.62896724488</v>
      </c>
      <c r="JM10" s="17">
        <v>78887.505000000005</v>
      </c>
      <c r="JN10" s="290">
        <f t="shared" si="33"/>
        <v>86363.053601353255</v>
      </c>
      <c r="JO10" s="17">
        <v>67866.460000000021</v>
      </c>
      <c r="JP10" s="290">
        <f t="shared" si="34"/>
        <v>74297.630818899619</v>
      </c>
      <c r="JQ10" s="17">
        <v>71839.23</v>
      </c>
      <c r="JR10" s="290">
        <f t="shared" si="35"/>
        <v>78646.868996173012</v>
      </c>
      <c r="JS10" s="17">
        <v>222001.96544999999</v>
      </c>
      <c r="JT10" s="290">
        <f t="shared" si="36"/>
        <v>243039.34624075281</v>
      </c>
      <c r="JU10" s="17">
        <f t="shared" si="37"/>
        <v>1559945.0209960397</v>
      </c>
      <c r="JV10" s="17">
        <f t="shared" si="37"/>
        <v>1700454.6996445484</v>
      </c>
      <c r="JW10" s="320">
        <f t="shared" si="9"/>
        <v>5.7281866144513032</v>
      </c>
      <c r="KA10" s="283">
        <v>5</v>
      </c>
      <c r="KB10" s="306">
        <v>5</v>
      </c>
      <c r="KC10" s="97">
        <f t="shared" si="10"/>
        <v>11</v>
      </c>
      <c r="KD10" s="97">
        <f t="shared" si="11"/>
        <v>11</v>
      </c>
      <c r="KE10" s="289">
        <f t="shared" si="12"/>
        <v>29685742</v>
      </c>
      <c r="KF10" s="289">
        <f t="shared" si="13"/>
        <v>30972358.896007076</v>
      </c>
      <c r="KG10" s="321">
        <f t="shared" si="38"/>
        <v>1</v>
      </c>
      <c r="KH10" s="321">
        <f t="shared" si="39"/>
        <v>1.0433412409232377</v>
      </c>
      <c r="KI10" s="321">
        <f t="shared" si="40"/>
        <v>1.0499457231826748</v>
      </c>
      <c r="KJ10" s="306" t="s">
        <v>440</v>
      </c>
      <c r="KK10" s="322"/>
      <c r="KL10" s="323"/>
      <c r="KM10" s="322"/>
      <c r="KN10" s="283">
        <v>5</v>
      </c>
      <c r="KO10" s="306">
        <v>5</v>
      </c>
      <c r="KP10" s="324" t="str">
        <f t="shared" si="14"/>
        <v>Q4</v>
      </c>
      <c r="KQ10" s="325">
        <f t="shared" si="15"/>
        <v>1.0499457231826748</v>
      </c>
      <c r="KR10" s="17">
        <f t="shared" si="41"/>
        <v>0</v>
      </c>
      <c r="KS10" s="17">
        <f t="shared" si="42"/>
        <v>0</v>
      </c>
      <c r="KT10" s="17">
        <f t="shared" si="16"/>
        <v>3212808</v>
      </c>
      <c r="KU10" s="17">
        <f t="shared" si="43"/>
        <v>3370710.1687893751</v>
      </c>
      <c r="KV10" s="17">
        <f t="shared" si="17"/>
        <v>1313046</v>
      </c>
      <c r="KW10" s="17">
        <f t="shared" si="18"/>
        <v>1850343.7052328251</v>
      </c>
      <c r="KX10" s="17">
        <f t="shared" si="44"/>
        <v>247500</v>
      </c>
      <c r="KY10" s="17">
        <f t="shared" si="45"/>
        <v>66874.61532168214</v>
      </c>
      <c r="KZ10" s="17">
        <f t="shared" si="46"/>
        <v>1560546</v>
      </c>
      <c r="LA10" s="17">
        <f t="shared" si="46"/>
        <v>1917218.3205545072</v>
      </c>
      <c r="LB10" s="326"/>
      <c r="LC10" s="323"/>
      <c r="LD10" s="322"/>
      <c r="LE10" s="364">
        <f t="shared" si="71"/>
        <v>5</v>
      </c>
      <c r="LF10" s="365">
        <v>4</v>
      </c>
      <c r="LG10" s="411">
        <f t="shared" si="72"/>
        <v>1</v>
      </c>
      <c r="LH10" s="411">
        <f t="shared" si="72"/>
        <v>1.0433412409232377</v>
      </c>
      <c r="LI10" s="412">
        <v>92.086954396969617</v>
      </c>
      <c r="LJ10" s="343">
        <f t="shared" si="73"/>
        <v>518283.53524544823</v>
      </c>
      <c r="LK10" s="412">
        <v>92.086954396969617</v>
      </c>
      <c r="LL10" s="343">
        <f t="shared" si="47"/>
        <v>50765.224096079459</v>
      </c>
      <c r="LM10" s="412">
        <v>92.086954396969617</v>
      </c>
      <c r="LN10" s="343">
        <f t="shared" si="48"/>
        <v>376886.08700568299</v>
      </c>
      <c r="LO10" s="412">
        <v>119.50379714140099</v>
      </c>
      <c r="LP10" s="343">
        <f t="shared" si="74"/>
        <v>385072.305675574</v>
      </c>
      <c r="LQ10" s="412">
        <v>120.433043671646</v>
      </c>
      <c r="LR10" s="343">
        <f t="shared" si="49"/>
        <v>33944.623499479436</v>
      </c>
      <c r="LS10" s="412">
        <v>146.40099357416699</v>
      </c>
      <c r="LT10" s="343">
        <f t="shared" si="50"/>
        <v>39987.17017615556</v>
      </c>
      <c r="LU10" s="412">
        <v>116.183248398364</v>
      </c>
      <c r="LV10" s="343">
        <f t="shared" si="51"/>
        <v>35069.0048343171</v>
      </c>
      <c r="LW10" s="412">
        <v>117.5956284153</v>
      </c>
      <c r="LX10" s="343">
        <f t="shared" si="52"/>
        <v>137773.12058592017</v>
      </c>
      <c r="LY10" s="20">
        <f t="shared" si="53"/>
        <v>1506479.2510964985</v>
      </c>
      <c r="LZ10" s="20">
        <f t="shared" si="75"/>
        <v>1577781.0711186568</v>
      </c>
      <c r="MA10" s="103"/>
      <c r="MB10" s="335"/>
      <c r="MD10" s="283">
        <v>5</v>
      </c>
      <c r="ME10" s="336">
        <v>5</v>
      </c>
      <c r="MF10" s="17">
        <f t="shared" si="19"/>
        <v>1432459.2149000003</v>
      </c>
      <c r="MG10" s="17">
        <f t="shared" si="19"/>
        <v>1560546</v>
      </c>
      <c r="MH10" s="290">
        <f t="shared" si="20"/>
        <v>1917218.3205545072</v>
      </c>
      <c r="MI10" s="17">
        <f t="shared" si="21"/>
        <v>1559945.0209960397</v>
      </c>
      <c r="MJ10" s="17">
        <f t="shared" si="21"/>
        <v>1700454.6996445484</v>
      </c>
      <c r="MK10" s="290">
        <f t="shared" si="54"/>
        <v>1785385.1393576735</v>
      </c>
      <c r="ML10" s="17">
        <f t="shared" si="55"/>
        <v>-127485.80609603948</v>
      </c>
      <c r="MM10" s="17">
        <f t="shared" si="55"/>
        <v>-139908.69964454835</v>
      </c>
      <c r="MN10" s="17">
        <f t="shared" si="55"/>
        <v>131833.18119683373</v>
      </c>
      <c r="MR10" s="283">
        <f>MR9+1</f>
        <v>5</v>
      </c>
      <c r="MS10" s="444" t="s">
        <v>212</v>
      </c>
      <c r="MT10" s="445"/>
      <c r="MX10" s="338">
        <f t="shared" si="85"/>
        <v>4</v>
      </c>
      <c r="MY10" s="346" t="s">
        <v>205</v>
      </c>
      <c r="MZ10" s="20">
        <f>N10</f>
        <v>206485.35942255295</v>
      </c>
      <c r="NA10" s="414">
        <f t="shared" si="56"/>
        <v>9.3684369655809251E-3</v>
      </c>
      <c r="NC10" s="15">
        <f>MZ10</f>
        <v>206485.35942255295</v>
      </c>
      <c r="ND10" s="414">
        <f t="shared" si="57"/>
        <v>9.3684369655809251E-3</v>
      </c>
      <c r="NH10" s="338">
        <f t="shared" si="86"/>
        <v>4</v>
      </c>
      <c r="NI10" s="346" t="str">
        <f t="shared" si="58"/>
        <v>Misc Revenue</v>
      </c>
      <c r="NJ10" s="20">
        <v>588123.20368232101</v>
      </c>
      <c r="NK10" s="20">
        <f>MZ10</f>
        <v>206485.35942255295</v>
      </c>
      <c r="NL10" s="20">
        <f t="shared" si="77"/>
        <v>-381637.84425976803</v>
      </c>
      <c r="NM10" s="352">
        <f t="shared" si="78"/>
        <v>-0.64890798708549591</v>
      </c>
    </row>
    <row r="11" spans="2:387" x14ac:dyDescent="0.3">
      <c r="B11" s="226">
        <f>B10+1</f>
        <v>6</v>
      </c>
      <c r="C11" s="339"/>
      <c r="D11" s="518" t="s">
        <v>45</v>
      </c>
      <c r="E11" s="340"/>
      <c r="F11" s="15">
        <v>4535083.1237580404</v>
      </c>
      <c r="G11" s="341">
        <f t="shared" si="22"/>
        <v>0.21820186542990008</v>
      </c>
      <c r="H11" s="15">
        <v>4550161.0413039094</v>
      </c>
      <c r="I11" s="342">
        <f t="shared" si="23"/>
        <v>0.2184013059770839</v>
      </c>
      <c r="J11" s="343">
        <f t="shared" si="59"/>
        <v>15077.917545869015</v>
      </c>
      <c r="K11" s="15">
        <v>4747991.9641978256</v>
      </c>
      <c r="L11" s="342">
        <f t="shared" si="24"/>
        <v>0.22475751653450432</v>
      </c>
      <c r="M11" s="343">
        <f t="shared" si="60"/>
        <v>197830.92289391626</v>
      </c>
      <c r="N11" s="15">
        <f>MZ11</f>
        <v>4758928.0499999989</v>
      </c>
      <c r="O11" s="342">
        <f t="shared" si="25"/>
        <v>0.21591708770462284</v>
      </c>
      <c r="P11" s="343">
        <f t="shared" si="61"/>
        <v>10936.085802173242</v>
      </c>
      <c r="Q11" s="15">
        <f t="shared" si="62"/>
        <v>223844.92624195851</v>
      </c>
      <c r="R11" s="344">
        <f>O11/G11-1</f>
        <v>-1.0470935804218651E-2</v>
      </c>
      <c r="V11" s="385">
        <f t="shared" si="64"/>
        <v>4</v>
      </c>
      <c r="W11" s="386" t="s">
        <v>185</v>
      </c>
      <c r="X11" s="309">
        <f>X10/$H$24*100</f>
        <v>-0.149341083997174</v>
      </c>
      <c r="Y11" s="309">
        <f>Y10/$H$24*100</f>
        <v>7.8389827035509342E-5</v>
      </c>
      <c r="Z11" s="309">
        <f>Z10/$H$24*100</f>
        <v>0.30088423160851074</v>
      </c>
      <c r="AA11" s="309">
        <f>AA10/$H$24*100</f>
        <v>0.15162153743837226</v>
      </c>
      <c r="AB11" s="342"/>
      <c r="AC11" s="348"/>
      <c r="AF11" s="249">
        <f t="shared" si="80"/>
        <v>5</v>
      </c>
      <c r="AG11" s="346" t="s">
        <v>78</v>
      </c>
      <c r="AH11" s="105">
        <f>CQ9</f>
        <v>1771580.4609369074</v>
      </c>
      <c r="AI11" s="105">
        <f>DB9</f>
        <v>110738.507</v>
      </c>
      <c r="AJ11" s="347">
        <f>DL9</f>
        <v>532725.79619268049</v>
      </c>
      <c r="AN11" s="446">
        <v>6</v>
      </c>
      <c r="AO11" s="447"/>
      <c r="AP11" s="447"/>
      <c r="AQ11" s="447" t="s">
        <v>213</v>
      </c>
      <c r="AR11" s="448"/>
      <c r="AS11" s="449">
        <v>41149542.24840001</v>
      </c>
      <c r="AT11" s="450">
        <v>4.0127088112831091</v>
      </c>
      <c r="AU11" s="451"/>
      <c r="AV11" s="449">
        <v>43536109.595200002</v>
      </c>
      <c r="AW11" s="450">
        <v>4.0341900871360252</v>
      </c>
      <c r="AX11" s="452">
        <f>AW11/AT11-1</f>
        <v>5.3533104102929663E-3</v>
      </c>
      <c r="AY11" s="451"/>
      <c r="AZ11" s="449">
        <v>52475468.259999998</v>
      </c>
      <c r="BA11" s="450">
        <v>4.067434394135975</v>
      </c>
      <c r="BB11" s="452">
        <f>BA11/AW11-1</f>
        <v>8.2406397026151268E-3</v>
      </c>
      <c r="BC11" s="451"/>
      <c r="BD11" s="449">
        <v>60296489.323600002</v>
      </c>
      <c r="BE11" s="450">
        <v>4.1000982394224748</v>
      </c>
      <c r="BF11" s="452">
        <f>BE11/BA11-1</f>
        <v>8.0305770471900129E-3</v>
      </c>
      <c r="BG11" s="451"/>
      <c r="BH11" s="449">
        <v>61146922.538433343</v>
      </c>
      <c r="BI11" s="450">
        <v>4.0237731131168939</v>
      </c>
      <c r="BJ11" s="452">
        <f>BI11/BE11-1</f>
        <v>-1.8615438423331909E-2</v>
      </c>
      <c r="BK11" s="451"/>
      <c r="BL11" s="449">
        <v>67411697.978699997</v>
      </c>
      <c r="BM11" s="450">
        <v>4.0075180177968992</v>
      </c>
      <c r="BN11" s="452">
        <f>BM11/BI11-1</f>
        <v>-4.0397643860697885E-3</v>
      </c>
      <c r="BO11" s="451"/>
      <c r="BP11" s="449">
        <v>82733345.540000066</v>
      </c>
      <c r="BQ11" s="450">
        <v>4.4605216108185832</v>
      </c>
      <c r="BR11" s="452">
        <f>BQ11/BM11-1</f>
        <v>0.11303844200074709</v>
      </c>
      <c r="BS11" s="451"/>
      <c r="BT11" s="453">
        <v>96023263.244399965</v>
      </c>
      <c r="BU11" s="453">
        <v>4.8940141407676769</v>
      </c>
      <c r="BV11" s="453">
        <f>BU11/BQ11-1</f>
        <v>9.7184268516421479E-2</v>
      </c>
      <c r="BW11" s="22">
        <v>108271476.32980001</v>
      </c>
      <c r="BX11" s="23">
        <v>5.5933628300959608</v>
      </c>
      <c r="BY11" s="23">
        <f t="shared" si="65"/>
        <v>0.14289878803222744</v>
      </c>
      <c r="BZ11" s="23">
        <v>110405938.53159995</v>
      </c>
      <c r="CA11" s="23">
        <v>5.4123287588874414</v>
      </c>
      <c r="CB11" s="23">
        <f t="shared" si="66"/>
        <v>-3.2365873036956816E-2</v>
      </c>
      <c r="CC11" s="22">
        <f>F12</f>
        <v>104395539.42615813</v>
      </c>
      <c r="CD11" s="23">
        <f>G12</f>
        <v>5.0229071493781339</v>
      </c>
      <c r="CE11" s="352">
        <f t="shared" si="67"/>
        <v>-7.1950841653853459E-2</v>
      </c>
      <c r="CF11" s="454">
        <f t="shared" si="68"/>
        <v>1.5369793616651295</v>
      </c>
      <c r="CG11" s="352">
        <f t="shared" si="69"/>
        <v>5.3081666178149911E-2</v>
      </c>
      <c r="CP11" s="347"/>
      <c r="CT11" s="347"/>
      <c r="CV11" s="106"/>
      <c r="CX11" s="438"/>
      <c r="CY11" s="455"/>
      <c r="CZ11" s="105"/>
      <c r="DA11" s="518"/>
      <c r="DB11" s="105"/>
      <c r="DC11" s="344"/>
      <c r="DF11" s="106"/>
      <c r="DQ11" s="456">
        <v>6</v>
      </c>
      <c r="DR11" s="457" t="s">
        <v>214</v>
      </c>
      <c r="DS11" s="458"/>
      <c r="DT11" s="458"/>
      <c r="DU11" s="458"/>
      <c r="DV11" s="458"/>
      <c r="DW11" s="459">
        <v>1232847.5543047281</v>
      </c>
      <c r="DX11" s="458">
        <v>2154432.7668835837</v>
      </c>
      <c r="DY11" s="458">
        <v>3352134.5294021191</v>
      </c>
      <c r="DZ11" s="458">
        <v>6739414.8505904311</v>
      </c>
      <c r="EN11" s="103"/>
      <c r="EO11" s="408"/>
      <c r="FD11" s="103"/>
      <c r="FE11" s="408"/>
      <c r="FG11" s="338">
        <f t="shared" si="84"/>
        <v>6</v>
      </c>
      <c r="FH11" s="360"/>
      <c r="FI11" s="361" t="s">
        <v>215</v>
      </c>
      <c r="FJ11" s="20">
        <v>47401.000000000007</v>
      </c>
      <c r="FK11" s="20">
        <v>42434.12000000001</v>
      </c>
      <c r="FL11" s="20">
        <v>52030.61</v>
      </c>
      <c r="FM11" s="343">
        <f t="shared" si="28"/>
        <v>141865.73000000004</v>
      </c>
      <c r="FN11" s="20">
        <v>47464.545454545463</v>
      </c>
      <c r="FO11" s="20">
        <v>42434.12</v>
      </c>
      <c r="FP11" s="20">
        <v>52030.609999999993</v>
      </c>
      <c r="FQ11" s="20">
        <v>141929.27545454545</v>
      </c>
      <c r="FR11" s="20">
        <v>141929.27545454545</v>
      </c>
      <c r="FS11" s="103"/>
      <c r="FT11" s="301"/>
      <c r="FV11" s="338">
        <v>6</v>
      </c>
      <c r="FW11" s="340" t="s">
        <v>216</v>
      </c>
      <c r="FX11" s="20">
        <v>50000</v>
      </c>
      <c r="FY11" s="20">
        <v>60000</v>
      </c>
      <c r="FZ11" s="20">
        <v>40000</v>
      </c>
      <c r="GA11" s="343">
        <v>150000</v>
      </c>
      <c r="GB11" s="20">
        <v>0</v>
      </c>
      <c r="GC11" s="20">
        <v>0</v>
      </c>
      <c r="GD11" s="20">
        <v>0</v>
      </c>
      <c r="GE11" s="343">
        <f t="shared" ref="GE11:GE12" si="87">SUM(GB11:GD11)</f>
        <v>0</v>
      </c>
      <c r="GF11" s="300"/>
      <c r="GG11" s="301"/>
      <c r="GI11" s="456">
        <v>6</v>
      </c>
      <c r="GJ11" s="460" t="s">
        <v>217</v>
      </c>
      <c r="GK11" s="20">
        <v>0</v>
      </c>
      <c r="GL11" s="20">
        <v>0</v>
      </c>
      <c r="GM11" s="20">
        <v>0</v>
      </c>
      <c r="GN11" s="343">
        <f t="shared" si="2"/>
        <v>0</v>
      </c>
      <c r="GO11" s="20">
        <v>0</v>
      </c>
      <c r="GP11" s="20">
        <v>0</v>
      </c>
      <c r="GQ11" s="20">
        <v>0</v>
      </c>
      <c r="GR11" s="343">
        <f t="shared" ref="GR11" si="88">SUM(GO11:GQ11)</f>
        <v>0</v>
      </c>
      <c r="GS11" s="300"/>
      <c r="GT11" s="301"/>
      <c r="GV11" s="338">
        <v>6</v>
      </c>
      <c r="GW11" s="340" t="s">
        <v>218</v>
      </c>
      <c r="GX11" s="20">
        <v>63092.39</v>
      </c>
      <c r="GY11" s="20">
        <v>69565.040000000008</v>
      </c>
      <c r="GZ11" s="20">
        <v>89479.24</v>
      </c>
      <c r="HA11" s="343">
        <f t="shared" si="4"/>
        <v>222136.66999999998</v>
      </c>
      <c r="HB11" s="20">
        <v>9823</v>
      </c>
      <c r="HC11" s="20">
        <v>5642.7500000000073</v>
      </c>
      <c r="HD11" s="20">
        <v>26053.030000000021</v>
      </c>
      <c r="HE11" s="20">
        <f>SUM(HB11:HD11)</f>
        <v>41518.780000000028</v>
      </c>
      <c r="HF11" s="300"/>
      <c r="HG11" s="301"/>
      <c r="HW11" s="338">
        <v>6</v>
      </c>
      <c r="HX11" s="322">
        <v>6</v>
      </c>
      <c r="HY11" s="322">
        <v>10</v>
      </c>
      <c r="HZ11" s="322">
        <v>10</v>
      </c>
      <c r="IA11" s="347">
        <v>30951872</v>
      </c>
      <c r="IB11" s="347">
        <v>32402786</v>
      </c>
      <c r="IC11" s="342">
        <f t="shared" si="5"/>
        <v>1</v>
      </c>
      <c r="ID11" s="342">
        <f t="shared" si="6"/>
        <v>1.0468764538700599</v>
      </c>
      <c r="IE11" s="344">
        <v>0.9</v>
      </c>
      <c r="IF11" s="344">
        <v>0.1</v>
      </c>
      <c r="IG11" s="344">
        <v>0</v>
      </c>
      <c r="IK11" s="364">
        <v>6</v>
      </c>
      <c r="IL11" s="365">
        <v>6</v>
      </c>
      <c r="IM11" s="341">
        <f t="shared" si="7"/>
        <v>1.0468764538700599</v>
      </c>
      <c r="IN11" s="20">
        <v>0</v>
      </c>
      <c r="IO11" s="343">
        <f t="shared" si="29"/>
        <v>0</v>
      </c>
      <c r="IP11" s="20">
        <v>3369027</v>
      </c>
      <c r="IQ11" s="343">
        <v>3511615</v>
      </c>
      <c r="IR11" s="20">
        <v>1407569.3480000002</v>
      </c>
      <c r="IS11" s="343">
        <v>1440397</v>
      </c>
      <c r="IT11" s="20">
        <v>225000</v>
      </c>
      <c r="IU11" s="20">
        <v>225000</v>
      </c>
      <c r="IV11" s="20">
        <f t="shared" si="30"/>
        <v>1632569.3480000002</v>
      </c>
      <c r="IW11" s="20">
        <f t="shared" si="30"/>
        <v>1665397</v>
      </c>
      <c r="IX11" s="314"/>
      <c r="IY11" s="315"/>
      <c r="IZ11" s="314"/>
      <c r="JA11" s="366">
        <v>6</v>
      </c>
      <c r="JB11" s="365">
        <v>6</v>
      </c>
      <c r="JC11" s="367">
        <f t="shared" si="8"/>
        <v>1</v>
      </c>
      <c r="JD11" s="368">
        <f t="shared" si="8"/>
        <v>1.0468764538700599</v>
      </c>
      <c r="JE11" s="20">
        <v>638908.69272277597</v>
      </c>
      <c r="JF11" s="343">
        <f t="shared" si="70"/>
        <v>668858.46658437548</v>
      </c>
      <c r="JG11" s="20">
        <v>31460.6597</v>
      </c>
      <c r="JH11" s="343">
        <f t="shared" si="31"/>
        <v>32935.423863148702</v>
      </c>
      <c r="JI11" s="20">
        <v>378386.21757722402</v>
      </c>
      <c r="JJ11" s="343">
        <f t="shared" si="32"/>
        <v>378386.21757722402</v>
      </c>
      <c r="JK11" s="20">
        <v>469212.57936610642</v>
      </c>
      <c r="JL11" s="343">
        <v>466986.50599135744</v>
      </c>
      <c r="JM11" s="20">
        <v>81754.570000000007</v>
      </c>
      <c r="JN11" s="343">
        <f t="shared" si="33"/>
        <v>85586.934329271593</v>
      </c>
      <c r="JO11" s="20">
        <v>60206.102500000008</v>
      </c>
      <c r="JP11" s="343">
        <f t="shared" si="34"/>
        <v>63028.351086537354</v>
      </c>
      <c r="JQ11" s="20">
        <v>23702.44</v>
      </c>
      <c r="JR11" s="343">
        <f t="shared" si="35"/>
        <v>24813.526335267859</v>
      </c>
      <c r="JS11" s="20">
        <v>197875.27570000003</v>
      </c>
      <c r="JT11" s="343">
        <f t="shared" si="36"/>
        <v>207150.96693337648</v>
      </c>
      <c r="JU11" s="20">
        <f t="shared" si="37"/>
        <v>1881506.5375661065</v>
      </c>
      <c r="JV11" s="20">
        <f t="shared" si="37"/>
        <v>1927746.3927005585</v>
      </c>
      <c r="JW11" s="369">
        <f t="shared" si="9"/>
        <v>5.9493229770445</v>
      </c>
      <c r="KA11" s="338">
        <v>6</v>
      </c>
      <c r="KB11" s="322">
        <v>6</v>
      </c>
      <c r="KC11" s="518">
        <f t="shared" si="10"/>
        <v>10</v>
      </c>
      <c r="KD11" s="518">
        <f t="shared" si="11"/>
        <v>10</v>
      </c>
      <c r="KE11" s="370">
        <f t="shared" si="12"/>
        <v>32402786</v>
      </c>
      <c r="KF11" s="370">
        <f t="shared" si="13"/>
        <v>33807162.954610109</v>
      </c>
      <c r="KG11" s="371">
        <f t="shared" si="38"/>
        <v>1</v>
      </c>
      <c r="KH11" s="371">
        <f t="shared" si="39"/>
        <v>1.0433412409232377</v>
      </c>
      <c r="KI11" s="371">
        <f t="shared" si="40"/>
        <v>0.93885794974132875</v>
      </c>
      <c r="KJ11" s="322" t="s">
        <v>441</v>
      </c>
      <c r="KK11" s="322"/>
      <c r="KL11" s="323"/>
      <c r="KM11" s="322"/>
      <c r="KN11" s="338">
        <v>6</v>
      </c>
      <c r="KO11" s="322">
        <v>6</v>
      </c>
      <c r="KP11" s="437" t="str">
        <f t="shared" si="14"/>
        <v>Q2</v>
      </c>
      <c r="KQ11" s="373">
        <f t="shared" si="15"/>
        <v>0.93885794974132875</v>
      </c>
      <c r="KR11" s="358">
        <f t="shared" si="41"/>
        <v>0</v>
      </c>
      <c r="KS11" s="358">
        <f t="shared" si="42"/>
        <v>0</v>
      </c>
      <c r="KT11" s="358">
        <f t="shared" si="16"/>
        <v>3511615</v>
      </c>
      <c r="KU11" s="358">
        <f t="shared" si="43"/>
        <v>3679220.8282112675</v>
      </c>
      <c r="KV11" s="358">
        <f t="shared" si="17"/>
        <v>1440397</v>
      </c>
      <c r="KW11" s="358">
        <f t="shared" si="18"/>
        <v>2019699.9322808341</v>
      </c>
      <c r="KX11" s="358">
        <f t="shared" si="44"/>
        <v>225000</v>
      </c>
      <c r="KY11" s="358">
        <f t="shared" si="45"/>
        <v>72995.441687150276</v>
      </c>
      <c r="KZ11" s="358">
        <f t="shared" si="46"/>
        <v>1665397</v>
      </c>
      <c r="LA11" s="358">
        <f t="shared" si="46"/>
        <v>2092695.3739679842</v>
      </c>
      <c r="LB11" s="326"/>
      <c r="LC11" s="323"/>
      <c r="LD11" s="322"/>
      <c r="LE11" s="374">
        <f t="shared" si="71"/>
        <v>6</v>
      </c>
      <c r="LF11" s="375">
        <v>5</v>
      </c>
      <c r="LG11" s="376">
        <f t="shared" si="72"/>
        <v>1</v>
      </c>
      <c r="LH11" s="376">
        <f t="shared" si="72"/>
        <v>1.0433412409232377</v>
      </c>
      <c r="LI11" s="377">
        <v>92.086954396969617</v>
      </c>
      <c r="LJ11" s="290">
        <f t="shared" si="73"/>
        <v>438455.19082695816</v>
      </c>
      <c r="LK11" s="377">
        <v>92.086954396969617</v>
      </c>
      <c r="LL11" s="290">
        <f t="shared" si="47"/>
        <v>46811.963986867318</v>
      </c>
      <c r="LM11" s="377">
        <v>92.086954396969617</v>
      </c>
      <c r="LN11" s="290">
        <f t="shared" si="48"/>
        <v>350109.37346880755</v>
      </c>
      <c r="LO11" s="377">
        <v>119.50379714140099</v>
      </c>
      <c r="LP11" s="290">
        <f t="shared" si="74"/>
        <v>434609.88964075956</v>
      </c>
      <c r="LQ11" s="377">
        <v>120.433043671646</v>
      </c>
      <c r="LR11" s="290">
        <f t="shared" si="49"/>
        <v>93462.09816735849</v>
      </c>
      <c r="LS11" s="377">
        <v>146.40099357416699</v>
      </c>
      <c r="LT11" s="290">
        <f t="shared" si="50"/>
        <v>75618.745824730097</v>
      </c>
      <c r="LU11" s="377">
        <v>116.183248398364</v>
      </c>
      <c r="LV11" s="290">
        <f t="shared" si="51"/>
        <v>83273.344639493807</v>
      </c>
      <c r="LW11" s="377">
        <v>117.5956284153</v>
      </c>
      <c r="LX11" s="378">
        <f t="shared" si="52"/>
        <v>263044.53280269844</v>
      </c>
      <c r="LY11" s="379">
        <f t="shared" si="53"/>
        <v>1700454.6996445484</v>
      </c>
      <c r="LZ11" s="379">
        <f t="shared" si="75"/>
        <v>1785385.1393576735</v>
      </c>
      <c r="MA11" s="103"/>
      <c r="MB11" s="335"/>
      <c r="MD11" s="338">
        <v>6</v>
      </c>
      <c r="ME11" s="380">
        <v>6</v>
      </c>
      <c r="MF11" s="20">
        <f t="shared" si="19"/>
        <v>1632569.3480000002</v>
      </c>
      <c r="MG11" s="20">
        <f t="shared" si="19"/>
        <v>1665397</v>
      </c>
      <c r="MH11" s="343">
        <f t="shared" si="20"/>
        <v>2092695.3739679842</v>
      </c>
      <c r="MI11" s="20">
        <f t="shared" si="21"/>
        <v>1881506.5375661065</v>
      </c>
      <c r="MJ11" s="20">
        <f t="shared" si="21"/>
        <v>1927746.3927005585</v>
      </c>
      <c r="MK11" s="343">
        <f t="shared" si="54"/>
        <v>1809880.0258720887</v>
      </c>
      <c r="ML11" s="20">
        <f t="shared" si="55"/>
        <v>-248937.1895661063</v>
      </c>
      <c r="MM11" s="20">
        <f>MG11-MJ11</f>
        <v>-262349.39270055853</v>
      </c>
      <c r="MN11" s="20">
        <f t="shared" si="55"/>
        <v>282815.34809589549</v>
      </c>
      <c r="MR11" s="338">
        <f>MR10+1</f>
        <v>6</v>
      </c>
      <c r="MS11" s="346" t="s">
        <v>219</v>
      </c>
      <c r="MT11" s="462">
        <v>5.3900000000000003E-2</v>
      </c>
      <c r="MX11" s="283">
        <f>MX10+1</f>
        <v>5</v>
      </c>
      <c r="MY11" s="388" t="s">
        <v>45</v>
      </c>
      <c r="MZ11" s="17">
        <v>4758928.0499999989</v>
      </c>
      <c r="NA11" s="381">
        <f t="shared" si="56"/>
        <v>0.21591708770462284</v>
      </c>
      <c r="NB11" s="97"/>
      <c r="NC11" s="18">
        <f>MZ11</f>
        <v>4758928.0499999989</v>
      </c>
      <c r="ND11" s="381">
        <f t="shared" si="57"/>
        <v>0.21591708770462284</v>
      </c>
      <c r="NH11" s="283">
        <f t="shared" si="86"/>
        <v>5</v>
      </c>
      <c r="NI11" s="388" t="str">
        <f t="shared" si="58"/>
        <v>Depot Viability Handling Commissions</v>
      </c>
      <c r="NJ11" s="17">
        <v>4822773.09</v>
      </c>
      <c r="NK11" s="17">
        <f>NC11</f>
        <v>4758928.0499999989</v>
      </c>
      <c r="NL11" s="17">
        <f t="shared" si="77"/>
        <v>-63845.040000000969</v>
      </c>
      <c r="NM11" s="395">
        <f t="shared" si="78"/>
        <v>-1.3238242564715183E-2</v>
      </c>
    </row>
    <row r="12" spans="2:387" ht="17.25" thickBot="1" x14ac:dyDescent="0.35">
      <c r="B12" s="265">
        <f>B11+1</f>
        <v>7</v>
      </c>
      <c r="C12" s="285" t="s">
        <v>220</v>
      </c>
      <c r="D12" s="284"/>
      <c r="E12" s="297"/>
      <c r="F12" s="18">
        <f>F9+F10+F11</f>
        <v>104395539.42615813</v>
      </c>
      <c r="G12" s="313">
        <f t="shared" si="22"/>
        <v>5.0229071493781339</v>
      </c>
      <c r="H12" s="18">
        <f>H9+H10+H11</f>
        <v>97875787.022206366</v>
      </c>
      <c r="I12" s="309">
        <f t="shared" si="23"/>
        <v>4.69789959413374</v>
      </c>
      <c r="J12" s="290">
        <f t="shared" si="59"/>
        <v>-6519752.4039517641</v>
      </c>
      <c r="K12" s="18">
        <f>K9+K10+K11</f>
        <v>99929255.975748464</v>
      </c>
      <c r="L12" s="309">
        <f t="shared" si="24"/>
        <v>4.7303895144743775</v>
      </c>
      <c r="M12" s="290">
        <f t="shared" si="60"/>
        <v>2053468.9535420984</v>
      </c>
      <c r="N12" s="18">
        <f>N9+N10+N11</f>
        <v>136639480.14784378</v>
      </c>
      <c r="O12" s="309">
        <f t="shared" si="25"/>
        <v>6.1994630532386523</v>
      </c>
      <c r="P12" s="290">
        <f t="shared" si="61"/>
        <v>36710224.172095314</v>
      </c>
      <c r="Q12" s="18">
        <f t="shared" si="62"/>
        <v>32243940.721685648</v>
      </c>
      <c r="R12" s="310">
        <f t="shared" si="63"/>
        <v>0.23423803563762524</v>
      </c>
      <c r="V12" s="249">
        <f t="shared" si="64"/>
        <v>5</v>
      </c>
      <c r="W12" s="463" t="s">
        <v>134</v>
      </c>
      <c r="X12" s="20">
        <f>X10-X7</f>
        <v>-2880561.9937847108</v>
      </c>
      <c r="Y12" s="20">
        <f t="shared" ref="Y12:AA12" si="89">Y10-Y7</f>
        <v>-1675208.4981671721</v>
      </c>
      <c r="Z12" s="20">
        <f t="shared" si="89"/>
        <v>2369604.2779440177</v>
      </c>
      <c r="AA12" s="20">
        <f t="shared" si="89"/>
        <v>-2186166.2140078652</v>
      </c>
      <c r="AB12" s="20"/>
      <c r="AC12" s="349"/>
      <c r="AF12" s="385">
        <f t="shared" si="80"/>
        <v>6</v>
      </c>
      <c r="AG12" s="388" t="s">
        <v>186</v>
      </c>
      <c r="AH12" s="389">
        <f>AH11*3600/$H$24</f>
        <v>3.0612009950408803</v>
      </c>
      <c r="AI12" s="389">
        <f>AI11*3600/$H$24</f>
        <v>0.19135051175630136</v>
      </c>
      <c r="AJ12" s="389">
        <f>AJ11*3600/$H$24</f>
        <v>0.92052309976738722</v>
      </c>
      <c r="AL12" s="464"/>
      <c r="AN12" s="283">
        <v>7</v>
      </c>
      <c r="AO12" s="284"/>
      <c r="AP12" s="282" t="s">
        <v>221</v>
      </c>
      <c r="AQ12" s="281"/>
      <c r="AR12" s="286"/>
      <c r="AS12" s="392"/>
      <c r="AT12" s="393"/>
      <c r="AU12" s="394"/>
      <c r="AV12" s="392"/>
      <c r="AW12" s="393"/>
      <c r="AX12" s="383"/>
      <c r="AY12" s="394"/>
      <c r="AZ12" s="392"/>
      <c r="BA12" s="465"/>
      <c r="BB12" s="383"/>
      <c r="BC12" s="394"/>
      <c r="BD12" s="392"/>
      <c r="BE12" s="465"/>
      <c r="BF12" s="383"/>
      <c r="BG12" s="394"/>
      <c r="BH12" s="392"/>
      <c r="BI12" s="465"/>
      <c r="BJ12" s="383"/>
      <c r="BK12" s="394"/>
      <c r="BL12" s="392"/>
      <c r="BM12" s="465"/>
      <c r="BN12" s="383"/>
      <c r="BO12" s="394"/>
      <c r="BP12" s="392"/>
      <c r="BQ12" s="465"/>
      <c r="BR12" s="383"/>
      <c r="BS12" s="394"/>
      <c r="BT12" s="97"/>
      <c r="BU12" s="97"/>
      <c r="BV12" s="97"/>
      <c r="BW12" s="18"/>
      <c r="BX12" s="19"/>
      <c r="BY12" s="19"/>
      <c r="BZ12" s="19"/>
      <c r="CA12" s="19"/>
      <c r="CB12" s="19"/>
      <c r="CC12" s="18"/>
      <c r="CD12" s="19"/>
      <c r="CE12" s="466"/>
      <c r="CF12" s="396"/>
      <c r="CG12" s="466"/>
      <c r="CU12" s="347"/>
      <c r="CV12" s="106"/>
      <c r="DA12" s="518"/>
      <c r="DF12" s="106"/>
      <c r="DH12" s="976"/>
      <c r="DI12" s="976"/>
      <c r="DJ12" s="355"/>
      <c r="DK12" s="355"/>
      <c r="DL12" s="355"/>
      <c r="DM12" s="344"/>
      <c r="DQ12" s="467">
        <v>7</v>
      </c>
      <c r="DR12" s="468" t="s">
        <v>72</v>
      </c>
      <c r="DS12" s="469">
        <f t="shared" ref="DS12:DZ12" si="90">SUM(DS7:DS11)</f>
        <v>3530087.5569999996</v>
      </c>
      <c r="DT12" s="469">
        <f t="shared" si="90"/>
        <v>6491478.3399999999</v>
      </c>
      <c r="DU12" s="469">
        <f t="shared" si="90"/>
        <v>14676147.762500003</v>
      </c>
      <c r="DV12" s="470">
        <f t="shared" si="90"/>
        <v>24697713.659500003</v>
      </c>
      <c r="DW12" s="469">
        <f t="shared" si="90"/>
        <v>4189591.6565660639</v>
      </c>
      <c r="DX12" s="469">
        <f t="shared" si="90"/>
        <v>6767505.2733571697</v>
      </c>
      <c r="DY12" s="469">
        <f t="shared" si="90"/>
        <v>10006244.025055984</v>
      </c>
      <c r="DZ12" s="469">
        <f t="shared" si="90"/>
        <v>20963340.954979219</v>
      </c>
      <c r="EN12" s="103"/>
      <c r="EO12" s="408"/>
      <c r="FD12" s="103"/>
      <c r="FE12" s="408"/>
      <c r="FG12" s="283">
        <f t="shared" si="84"/>
        <v>7</v>
      </c>
      <c r="FH12" s="406"/>
      <c r="FI12" s="407" t="s">
        <v>222</v>
      </c>
      <c r="FJ12" s="17">
        <v>148012.14499999996</v>
      </c>
      <c r="FK12" s="17">
        <v>277116.79999999999</v>
      </c>
      <c r="FL12" s="17">
        <v>328144.58999999997</v>
      </c>
      <c r="FM12" s="290">
        <f t="shared" si="28"/>
        <v>753273.53499999992</v>
      </c>
      <c r="FN12" s="17">
        <v>150334.44712121214</v>
      </c>
      <c r="FO12" s="17">
        <v>277176</v>
      </c>
      <c r="FP12" s="17">
        <v>328144.58999999997</v>
      </c>
      <c r="FQ12" s="17">
        <v>755655.03712121211</v>
      </c>
      <c r="FR12" s="17">
        <v>755655.03712121211</v>
      </c>
      <c r="FS12" s="103"/>
      <c r="FT12" s="408"/>
      <c r="FV12" s="283">
        <v>7</v>
      </c>
      <c r="FW12" s="286" t="s">
        <v>223</v>
      </c>
      <c r="FX12" s="17">
        <v>0</v>
      </c>
      <c r="FY12" s="17">
        <v>0</v>
      </c>
      <c r="FZ12" s="17">
        <v>0</v>
      </c>
      <c r="GA12" s="290">
        <v>0</v>
      </c>
      <c r="GB12" s="17">
        <v>0</v>
      </c>
      <c r="GC12" s="17">
        <v>0</v>
      </c>
      <c r="GD12" s="17">
        <v>0</v>
      </c>
      <c r="GE12" s="290">
        <f t="shared" si="87"/>
        <v>0</v>
      </c>
      <c r="GF12" s="103"/>
      <c r="GG12" s="301"/>
      <c r="GI12" s="467">
        <v>7</v>
      </c>
      <c r="GJ12" s="471" t="s">
        <v>89</v>
      </c>
      <c r="GK12" s="469">
        <f t="shared" ref="GK12:GR12" si="91">SUM(GK6:GK11)</f>
        <v>0</v>
      </c>
      <c r="GL12" s="469">
        <f t="shared" si="91"/>
        <v>0</v>
      </c>
      <c r="GM12" s="469">
        <f t="shared" si="91"/>
        <v>0</v>
      </c>
      <c r="GN12" s="470">
        <f t="shared" si="91"/>
        <v>0</v>
      </c>
      <c r="GO12" s="469">
        <f t="shared" si="91"/>
        <v>0</v>
      </c>
      <c r="GP12" s="469">
        <f t="shared" si="91"/>
        <v>0</v>
      </c>
      <c r="GQ12" s="469">
        <f t="shared" si="91"/>
        <v>0</v>
      </c>
      <c r="GR12" s="470">
        <f t="shared" si="91"/>
        <v>0</v>
      </c>
      <c r="GS12" s="103"/>
      <c r="GT12" s="301"/>
      <c r="GV12" s="283">
        <v>7</v>
      </c>
      <c r="GW12" s="286" t="s">
        <v>224</v>
      </c>
      <c r="GX12" s="17">
        <f>FX14</f>
        <v>246822.49</v>
      </c>
      <c r="GY12" s="17">
        <f t="shared" ref="GY12:GZ12" si="92">FY14</f>
        <v>506083.3639</v>
      </c>
      <c r="GZ12" s="17">
        <f t="shared" si="92"/>
        <v>1023549.4600000001</v>
      </c>
      <c r="HA12" s="290">
        <f t="shared" ref="HA12:HA13" si="93">SUM(GX12:GZ12)</f>
        <v>1776455.3139</v>
      </c>
      <c r="HB12" s="17">
        <f>GB14</f>
        <v>0</v>
      </c>
      <c r="HC12" s="17">
        <f t="shared" ref="HC12:HD12" si="94">GC14</f>
        <v>0</v>
      </c>
      <c r="HD12" s="17">
        <f t="shared" si="94"/>
        <v>0</v>
      </c>
      <c r="HE12" s="17">
        <f t="shared" ref="HE12" si="95">SUM(HB12:HD12)</f>
        <v>0</v>
      </c>
      <c r="HF12" s="103"/>
      <c r="HG12" s="301"/>
      <c r="HW12" s="283">
        <v>7</v>
      </c>
      <c r="HX12" s="306">
        <v>7</v>
      </c>
      <c r="HY12" s="306">
        <v>10</v>
      </c>
      <c r="HZ12" s="306">
        <v>12</v>
      </c>
      <c r="IA12" s="307">
        <v>35567652</v>
      </c>
      <c r="IB12" s="307">
        <v>43926482</v>
      </c>
      <c r="IC12" s="309">
        <f t="shared" si="5"/>
        <v>1.2</v>
      </c>
      <c r="ID12" s="309">
        <f t="shared" si="6"/>
        <v>1.2350121396824283</v>
      </c>
      <c r="IE12" s="310">
        <v>1</v>
      </c>
      <c r="IF12" s="310">
        <v>0</v>
      </c>
      <c r="IG12" s="310">
        <v>0</v>
      </c>
      <c r="IK12" s="410">
        <v>7</v>
      </c>
      <c r="IL12" s="317">
        <v>7</v>
      </c>
      <c r="IM12" s="313">
        <f t="shared" si="7"/>
        <v>1.2350121396824283</v>
      </c>
      <c r="IN12" s="17">
        <v>0</v>
      </c>
      <c r="IO12" s="290">
        <f t="shared" si="29"/>
        <v>0</v>
      </c>
      <c r="IP12" s="17">
        <v>3906290</v>
      </c>
      <c r="IQ12" s="290">
        <v>4775399</v>
      </c>
      <c r="IR12" s="17">
        <v>1655811.4653</v>
      </c>
      <c r="IS12" s="290">
        <v>2007169</v>
      </c>
      <c r="IT12" s="17">
        <v>225000</v>
      </c>
      <c r="IU12" s="17">
        <v>270000</v>
      </c>
      <c r="IV12" s="17">
        <f t="shared" si="30"/>
        <v>1880811.4653</v>
      </c>
      <c r="IW12" s="17">
        <f t="shared" si="30"/>
        <v>2277169</v>
      </c>
      <c r="IX12" s="314"/>
      <c r="IY12" s="315"/>
      <c r="IZ12" s="314"/>
      <c r="JA12" s="316">
        <v>7</v>
      </c>
      <c r="JB12" s="317">
        <v>7</v>
      </c>
      <c r="JC12" s="318">
        <f t="shared" si="8"/>
        <v>1.2</v>
      </c>
      <c r="JD12" s="319">
        <f t="shared" si="8"/>
        <v>1.2350121396824283</v>
      </c>
      <c r="JE12" s="17">
        <v>534015.33116052148</v>
      </c>
      <c r="JF12" s="290">
        <f t="shared" si="70"/>
        <v>659515.41675977618</v>
      </c>
      <c r="JG12" s="17">
        <v>140368.72915</v>
      </c>
      <c r="JH12" s="290">
        <f t="shared" si="31"/>
        <v>173357.08453204474</v>
      </c>
      <c r="JI12" s="17">
        <v>308346.51058947854</v>
      </c>
      <c r="JJ12" s="290">
        <f t="shared" si="32"/>
        <v>370015.81270737422</v>
      </c>
      <c r="JK12" s="17">
        <v>430609.7511015131</v>
      </c>
      <c r="JL12" s="290">
        <v>523413.17756288225</v>
      </c>
      <c r="JM12" s="17">
        <v>119760.47224999996</v>
      </c>
      <c r="JN12" s="290">
        <f t="shared" si="33"/>
        <v>147905.63708285053</v>
      </c>
      <c r="JO12" s="17">
        <v>53415.915999999997</v>
      </c>
      <c r="JP12" s="290">
        <f t="shared" si="34"/>
        <v>65969.304712256853</v>
      </c>
      <c r="JQ12" s="17">
        <v>62226.089999999989</v>
      </c>
      <c r="JR12" s="290">
        <f t="shared" si="35"/>
        <v>76849.976554971334</v>
      </c>
      <c r="JS12" s="17">
        <v>200200.63380000001</v>
      </c>
      <c r="JT12" s="290">
        <f t="shared" si="36"/>
        <v>247250.21311511629</v>
      </c>
      <c r="JU12" s="17">
        <f t="shared" si="37"/>
        <v>1848943.434051513</v>
      </c>
      <c r="JV12" s="17">
        <f t="shared" si="37"/>
        <v>2264276.6230272725</v>
      </c>
      <c r="JW12" s="320">
        <f t="shared" si="9"/>
        <v>5.1546960283030918</v>
      </c>
      <c r="KA12" s="283">
        <v>7</v>
      </c>
      <c r="KB12" s="306">
        <v>7</v>
      </c>
      <c r="KC12" s="97">
        <f t="shared" si="10"/>
        <v>12</v>
      </c>
      <c r="KD12" s="97">
        <f t="shared" si="11"/>
        <v>12</v>
      </c>
      <c r="KE12" s="289">
        <f t="shared" si="12"/>
        <v>43926482</v>
      </c>
      <c r="KF12" s="289">
        <f t="shared" si="13"/>
        <v>45830310.239272259</v>
      </c>
      <c r="KG12" s="321">
        <f t="shared" si="38"/>
        <v>1</v>
      </c>
      <c r="KH12" s="321">
        <f t="shared" si="39"/>
        <v>1.0433412409232377</v>
      </c>
      <c r="KI12" s="321">
        <f t="shared" si="40"/>
        <v>0.97939228001683298</v>
      </c>
      <c r="KJ12" s="306" t="s">
        <v>256</v>
      </c>
      <c r="KK12" s="322"/>
      <c r="KL12" s="323"/>
      <c r="KM12" s="322"/>
      <c r="KN12" s="283">
        <v>7</v>
      </c>
      <c r="KO12" s="306">
        <v>7</v>
      </c>
      <c r="KP12" s="324" t="str">
        <f t="shared" si="14"/>
        <v>Q3</v>
      </c>
      <c r="KQ12" s="325">
        <f t="shared" si="15"/>
        <v>0.97939228001683298</v>
      </c>
      <c r="KR12" s="17">
        <f t="shared" si="41"/>
        <v>0</v>
      </c>
      <c r="KS12" s="17">
        <f t="shared" si="42"/>
        <v>0</v>
      </c>
      <c r="KT12" s="17">
        <f t="shared" si="16"/>
        <v>4775399</v>
      </c>
      <c r="KU12" s="17">
        <f t="shared" si="43"/>
        <v>4987695.4248454841</v>
      </c>
      <c r="KV12" s="17">
        <f t="shared" si="17"/>
        <v>2007169</v>
      </c>
      <c r="KW12" s="17">
        <f t="shared" si="18"/>
        <v>2737984.0955878077</v>
      </c>
      <c r="KX12" s="17">
        <f t="shared" si="44"/>
        <v>270000</v>
      </c>
      <c r="KY12" s="17">
        <f t="shared" si="45"/>
        <v>98955.471154630228</v>
      </c>
      <c r="KZ12" s="17">
        <f t="shared" si="46"/>
        <v>2277169</v>
      </c>
      <c r="LA12" s="17">
        <f t="shared" si="46"/>
        <v>2836939.5667424379</v>
      </c>
      <c r="LB12" s="326"/>
      <c r="LC12" s="323"/>
      <c r="LD12" s="322"/>
      <c r="LE12" s="364">
        <f t="shared" si="71"/>
        <v>7</v>
      </c>
      <c r="LF12" s="365">
        <v>6</v>
      </c>
      <c r="LG12" s="411">
        <f t="shared" si="72"/>
        <v>1</v>
      </c>
      <c r="LH12" s="411">
        <f t="shared" si="72"/>
        <v>1.0433412409232377</v>
      </c>
      <c r="LI12" s="412">
        <v>113.92083696213525</v>
      </c>
      <c r="LJ12" s="343">
        <f t="shared" si="73"/>
        <v>575186.44875625428</v>
      </c>
      <c r="LK12" s="412">
        <v>113.92083696213525</v>
      </c>
      <c r="LL12" s="343">
        <f t="shared" si="47"/>
        <v>28322.897050054366</v>
      </c>
      <c r="LM12" s="412">
        <v>113.92083696213525</v>
      </c>
      <c r="LN12" s="343">
        <f t="shared" si="48"/>
        <v>311877.00254402391</v>
      </c>
      <c r="LO12" s="412">
        <v>118.41952153062</v>
      </c>
      <c r="LP12" s="343">
        <f t="shared" si="74"/>
        <v>489282.12489814521</v>
      </c>
      <c r="LQ12" s="412">
        <v>118.887537452888</v>
      </c>
      <c r="LR12" s="343">
        <f t="shared" si="49"/>
        <v>93826.245491773152</v>
      </c>
      <c r="LS12" s="412">
        <v>168.49721907230401</v>
      </c>
      <c r="LT12" s="343">
        <f t="shared" si="50"/>
        <v>55736.762241254233</v>
      </c>
      <c r="LU12" s="412">
        <v>107.679074448752</v>
      </c>
      <c r="LV12" s="343">
        <f t="shared" si="51"/>
        <v>28348.185064579931</v>
      </c>
      <c r="LW12" s="412">
        <v>115.99271402550001</v>
      </c>
      <c r="LX12" s="343">
        <f t="shared" si="52"/>
        <v>227300.3598260037</v>
      </c>
      <c r="LY12" s="20">
        <f t="shared" si="53"/>
        <v>1927746.3927005585</v>
      </c>
      <c r="LZ12" s="20">
        <f t="shared" si="75"/>
        <v>1809880.0258720887</v>
      </c>
      <c r="MA12" s="103"/>
      <c r="MB12" s="335"/>
      <c r="MD12" s="283">
        <v>7</v>
      </c>
      <c r="ME12" s="336">
        <v>7</v>
      </c>
      <c r="MF12" s="17">
        <f t="shared" si="19"/>
        <v>1880811.4653</v>
      </c>
      <c r="MG12" s="17">
        <f t="shared" si="19"/>
        <v>2277169</v>
      </c>
      <c r="MH12" s="290">
        <f t="shared" si="20"/>
        <v>2836939.5667424379</v>
      </c>
      <c r="MI12" s="17">
        <f t="shared" si="21"/>
        <v>1848943.434051513</v>
      </c>
      <c r="MJ12" s="17">
        <f t="shared" si="21"/>
        <v>2264276.6230272725</v>
      </c>
      <c r="MK12" s="290">
        <f t="shared" si="54"/>
        <v>2217615.0444154954</v>
      </c>
      <c r="ML12" s="17">
        <f t="shared" si="55"/>
        <v>31868.031248487066</v>
      </c>
      <c r="MM12" s="17">
        <f>MG12-MJ12</f>
        <v>12892.376972727478</v>
      </c>
      <c r="MN12" s="17">
        <f t="shared" si="55"/>
        <v>619324.52232694253</v>
      </c>
      <c r="MR12" s="283">
        <f t="shared" si="76"/>
        <v>7</v>
      </c>
      <c r="MS12" s="413" t="s">
        <v>225</v>
      </c>
      <c r="MT12" s="32">
        <f>MT9/(1-MT11)</f>
        <v>352473509.16339827</v>
      </c>
      <c r="MX12" s="338">
        <f>MX11+1</f>
        <v>6</v>
      </c>
      <c r="MY12" s="447" t="s">
        <v>220</v>
      </c>
      <c r="MZ12" s="24">
        <f>N12</f>
        <v>136639480.14784378</v>
      </c>
      <c r="NA12" s="472">
        <f t="shared" si="56"/>
        <v>6.1994630532386523</v>
      </c>
      <c r="NB12" s="453"/>
      <c r="NC12" s="22">
        <f>NC9+NC10+NC11</f>
        <v>113399941.94584748</v>
      </c>
      <c r="ND12" s="472">
        <f t="shared" si="57"/>
        <v>5.1450631221080751</v>
      </c>
      <c r="NH12" s="338">
        <f t="shared" si="86"/>
        <v>6</v>
      </c>
      <c r="NI12" s="447" t="str">
        <f t="shared" si="58"/>
        <v>Net Revenue</v>
      </c>
      <c r="NJ12" s="24">
        <v>106708111.01526074</v>
      </c>
      <c r="NK12" s="24">
        <f>MZ12</f>
        <v>136639480.14784378</v>
      </c>
      <c r="NL12" s="24">
        <f t="shared" si="77"/>
        <v>29931369.132583037</v>
      </c>
      <c r="NM12" s="473">
        <f t="shared" si="78"/>
        <v>0.28049760086468439</v>
      </c>
    </row>
    <row r="13" spans="2:387" x14ac:dyDescent="0.3">
      <c r="B13" s="226">
        <f t="shared" si="79"/>
        <v>8</v>
      </c>
      <c r="C13" s="474" t="s">
        <v>221</v>
      </c>
      <c r="D13" s="475"/>
      <c r="E13" s="476"/>
      <c r="F13" s="15"/>
      <c r="G13" s="341"/>
      <c r="H13" s="15"/>
      <c r="I13" s="342"/>
      <c r="J13" s="343"/>
      <c r="K13" s="15"/>
      <c r="L13" s="342"/>
      <c r="M13" s="343"/>
      <c r="N13" s="15"/>
      <c r="O13" s="342"/>
      <c r="P13" s="343"/>
      <c r="Q13" s="15"/>
      <c r="R13" s="344"/>
      <c r="V13" s="275"/>
      <c r="W13" s="276" t="s">
        <v>27</v>
      </c>
      <c r="X13" s="415"/>
      <c r="Y13" s="416"/>
      <c r="Z13" s="416"/>
      <c r="AA13" s="416"/>
      <c r="AB13" s="279"/>
      <c r="AC13" s="351"/>
      <c r="AF13" s="417">
        <f t="shared" si="80"/>
        <v>7</v>
      </c>
      <c r="AG13" s="418" t="s">
        <v>195</v>
      </c>
      <c r="AH13" s="477">
        <f>JE26/AH11</f>
        <v>20.537971247053672</v>
      </c>
      <c r="AI13" s="477">
        <f>JG26/AI11</f>
        <v>19.390724851022238</v>
      </c>
      <c r="AJ13" s="477">
        <f>JI26/AJ11</f>
        <v>32.342338831236454</v>
      </c>
      <c r="AL13" s="464"/>
      <c r="AN13" s="338">
        <v>8</v>
      </c>
      <c r="AO13" s="96"/>
      <c r="AQ13" s="518" t="s">
        <v>47</v>
      </c>
      <c r="AR13" s="340"/>
      <c r="AS13" s="348">
        <v>12784699.6164</v>
      </c>
      <c r="AT13" s="349">
        <v>1.2467034624748656</v>
      </c>
      <c r="AU13" s="350"/>
      <c r="AV13" s="348">
        <v>13940512.122199997</v>
      </c>
      <c r="AW13" s="349">
        <v>1.2917708159017343</v>
      </c>
      <c r="AX13" s="351">
        <f t="shared" ref="AX13:AX20" si="96">AW13/AT13-1</f>
        <v>3.6149216540559026E-2</v>
      </c>
      <c r="AY13" s="350"/>
      <c r="AZ13" s="348">
        <v>16686157.735618668</v>
      </c>
      <c r="BA13" s="349">
        <v>1.2933634349589591</v>
      </c>
      <c r="BB13" s="351">
        <f t="shared" ref="BB13:BB20" si="97">BA13/AW13-1</f>
        <v>1.2328959886844792E-3</v>
      </c>
      <c r="BC13" s="350"/>
      <c r="BD13" s="348">
        <v>19121063.134010617</v>
      </c>
      <c r="BE13" s="349">
        <v>1.3002123037527811</v>
      </c>
      <c r="BF13" s="351">
        <f t="shared" ref="BF13:BF20" si="98">BE13/BA13-1</f>
        <v>5.2953938612307905E-3</v>
      </c>
      <c r="BG13" s="350"/>
      <c r="BH13" s="348">
        <v>21345531.913160004</v>
      </c>
      <c r="BI13" s="349">
        <v>1.4046426840756656</v>
      </c>
      <c r="BJ13" s="351">
        <f t="shared" ref="BJ13:BJ20" si="99">BI13/BE13-1</f>
        <v>8.0317945016724401E-2</v>
      </c>
      <c r="BK13" s="350"/>
      <c r="BL13" s="348">
        <v>23918047.727200001</v>
      </c>
      <c r="BM13" s="349">
        <v>1.4218898216681388</v>
      </c>
      <c r="BN13" s="351">
        <f t="shared" ref="BN13:BN20" si="100">BM13/BI13-1</f>
        <v>1.2278665448517856E-2</v>
      </c>
      <c r="BO13" s="350"/>
      <c r="BP13" s="348">
        <v>28535397.766300008</v>
      </c>
      <c r="BQ13" s="349">
        <v>1.5384698585450844</v>
      </c>
      <c r="BR13" s="351">
        <f t="shared" ref="BR13:BR20" si="101">BQ13/BM13-1</f>
        <v>8.1989500944718685E-2</v>
      </c>
      <c r="BS13" s="350"/>
      <c r="BT13" s="518">
        <v>32304174</v>
      </c>
      <c r="BU13" s="518">
        <v>1.65</v>
      </c>
      <c r="BV13" s="518">
        <f t="shared" ref="BV13:BV20" si="102">BU13/BQ13-1</f>
        <v>7.2494199893125222E-2</v>
      </c>
      <c r="BW13" s="15">
        <v>36103152.515199989</v>
      </c>
      <c r="BX13" s="16">
        <v>1.8651083200592218</v>
      </c>
      <c r="BY13" s="16">
        <f t="shared" si="65"/>
        <v>0.13036867882377079</v>
      </c>
      <c r="BZ13" s="16">
        <v>36687111.743471108</v>
      </c>
      <c r="CA13" s="16">
        <v>1.7984785294214409</v>
      </c>
      <c r="CB13" s="16">
        <f t="shared" si="66"/>
        <v>-3.5724354409434667E-2</v>
      </c>
      <c r="CC13" s="15">
        <f t="shared" ref="CC13:CD16" si="103">F14</f>
        <v>37593268.407299995</v>
      </c>
      <c r="CD13" s="16">
        <f t="shared" si="103"/>
        <v>1.8087697778034015</v>
      </c>
      <c r="CE13" s="352">
        <f t="shared" ref="CE13:CE20" si="104">CD13/CA13-1</f>
        <v>5.722196964603965E-3</v>
      </c>
      <c r="CF13" s="353">
        <f t="shared" si="68"/>
        <v>1.9404889856837917</v>
      </c>
      <c r="CG13" s="352">
        <f t="shared" ref="CG13:CG23" si="105">(CF13+1)^(1/(2022-2004))-1</f>
        <v>6.1752540262295819E-2</v>
      </c>
      <c r="DA13" s="518"/>
      <c r="DH13" s="976"/>
      <c r="DI13" s="976"/>
      <c r="DJ13" s="355"/>
      <c r="DK13" s="355"/>
      <c r="DL13" s="355"/>
      <c r="DM13" s="344"/>
      <c r="DW13" s="96"/>
      <c r="DX13" s="96"/>
      <c r="DY13" s="96"/>
      <c r="DZ13" s="96"/>
      <c r="EB13" s="94"/>
      <c r="EN13" s="103"/>
      <c r="EO13" s="408"/>
      <c r="FD13" s="103"/>
      <c r="FE13" s="408"/>
      <c r="FG13" s="338">
        <f t="shared" si="84"/>
        <v>8</v>
      </c>
      <c r="FH13" s="360"/>
      <c r="FI13" s="361" t="s">
        <v>226</v>
      </c>
      <c r="FJ13" s="20">
        <v>372570.14490000001</v>
      </c>
      <c r="FK13" s="20">
        <v>432666.99</v>
      </c>
      <c r="FL13" s="20">
        <v>764335.16999999993</v>
      </c>
      <c r="FM13" s="343">
        <f t="shared" si="28"/>
        <v>1569572.3048999999</v>
      </c>
      <c r="FN13" s="20">
        <v>383216.99338484858</v>
      </c>
      <c r="FO13" s="20">
        <v>433325.38999999996</v>
      </c>
      <c r="FP13" s="20">
        <v>764335.17</v>
      </c>
      <c r="FQ13" s="20">
        <v>1580877.5533848486</v>
      </c>
      <c r="FR13" s="20">
        <v>1580877.5533848486</v>
      </c>
      <c r="FS13" s="103"/>
      <c r="FT13" s="408"/>
      <c r="FV13" s="456">
        <v>8</v>
      </c>
      <c r="FW13" s="478" t="s">
        <v>227</v>
      </c>
      <c r="FX13" s="20">
        <v>118240.69</v>
      </c>
      <c r="FY13" s="20">
        <v>400895.28</v>
      </c>
      <c r="FZ13" s="20">
        <v>671940.67</v>
      </c>
      <c r="GA13" s="343">
        <v>1191076.6400000001</v>
      </c>
      <c r="GB13" s="20">
        <v>0</v>
      </c>
      <c r="GC13" s="20">
        <v>0</v>
      </c>
      <c r="GD13" s="20">
        <v>0</v>
      </c>
      <c r="GE13" s="343">
        <f t="shared" si="1"/>
        <v>0</v>
      </c>
      <c r="GG13" s="301"/>
      <c r="GT13" s="301"/>
      <c r="GV13" s="456">
        <v>8</v>
      </c>
      <c r="GW13" s="478" t="s">
        <v>228</v>
      </c>
      <c r="GX13" s="20">
        <f>GK12</f>
        <v>0</v>
      </c>
      <c r="GY13" s="20">
        <f t="shared" ref="GY13:GZ13" si="106">GL12</f>
        <v>0</v>
      </c>
      <c r="GZ13" s="20">
        <f t="shared" si="106"/>
        <v>0</v>
      </c>
      <c r="HA13" s="343">
        <f t="shared" si="93"/>
        <v>0</v>
      </c>
      <c r="HB13" s="20">
        <f>GO12</f>
        <v>0</v>
      </c>
      <c r="HC13" s="20">
        <f t="shared" ref="HC13:HE13" si="107">GP12</f>
        <v>0</v>
      </c>
      <c r="HD13" s="20">
        <f t="shared" si="107"/>
        <v>0</v>
      </c>
      <c r="HE13" s="20">
        <f t="shared" si="107"/>
        <v>0</v>
      </c>
      <c r="HG13" s="301"/>
      <c r="HW13" s="338">
        <v>8</v>
      </c>
      <c r="HX13" s="322">
        <v>8</v>
      </c>
      <c r="HY13" s="322">
        <v>11</v>
      </c>
      <c r="HZ13" s="322">
        <v>10</v>
      </c>
      <c r="IA13" s="347">
        <v>46754320</v>
      </c>
      <c r="IB13" s="347">
        <v>42400765</v>
      </c>
      <c r="IC13" s="342">
        <f t="shared" si="5"/>
        <v>0.90909090909090906</v>
      </c>
      <c r="ID13" s="342">
        <f t="shared" si="6"/>
        <v>0.90688443335289659</v>
      </c>
      <c r="IE13" s="344">
        <v>1</v>
      </c>
      <c r="IF13" s="344">
        <v>0</v>
      </c>
      <c r="IG13" s="344">
        <v>0</v>
      </c>
      <c r="IK13" s="364">
        <v>8</v>
      </c>
      <c r="IL13" s="365">
        <v>8</v>
      </c>
      <c r="IM13" s="341">
        <f t="shared" si="7"/>
        <v>0.90688443335289659</v>
      </c>
      <c r="IN13" s="20">
        <v>1215</v>
      </c>
      <c r="IO13" s="343">
        <f t="shared" si="29"/>
        <v>1101.8645865237693</v>
      </c>
      <c r="IP13" s="20">
        <v>5068135</v>
      </c>
      <c r="IQ13" s="343">
        <v>4100517</v>
      </c>
      <c r="IR13" s="20">
        <v>2068139.1013000002</v>
      </c>
      <c r="IS13" s="343">
        <v>1665222</v>
      </c>
      <c r="IT13" s="20">
        <v>247500</v>
      </c>
      <c r="IU13" s="20">
        <v>225000</v>
      </c>
      <c r="IV13" s="20">
        <f t="shared" si="30"/>
        <v>2316854.1013000002</v>
      </c>
      <c r="IW13" s="20">
        <f t="shared" si="30"/>
        <v>1891323.8645865237</v>
      </c>
      <c r="IX13" s="314"/>
      <c r="IY13" s="315"/>
      <c r="IZ13" s="314"/>
      <c r="JA13" s="366">
        <v>8</v>
      </c>
      <c r="JB13" s="365">
        <v>8</v>
      </c>
      <c r="JC13" s="367">
        <f t="shared" si="8"/>
        <v>0.90909090909090906</v>
      </c>
      <c r="JD13" s="368">
        <f t="shared" si="8"/>
        <v>0.90688443335289659</v>
      </c>
      <c r="JE13" s="20">
        <v>765725.39359878015</v>
      </c>
      <c r="JF13" s="343">
        <f t="shared" si="70"/>
        <v>694424.43967775349</v>
      </c>
      <c r="JG13" s="20">
        <v>88308.025000000009</v>
      </c>
      <c r="JH13" s="343">
        <f t="shared" si="31"/>
        <v>80085.17321263843</v>
      </c>
      <c r="JI13" s="20">
        <v>479200.50340121984</v>
      </c>
      <c r="JJ13" s="343">
        <f t="shared" si="32"/>
        <v>435636.82127383619</v>
      </c>
      <c r="JK13" s="20">
        <v>627154.02980366477</v>
      </c>
      <c r="JL13" s="343">
        <v>592911.97216258664</v>
      </c>
      <c r="JM13" s="20">
        <v>44114.474999999991</v>
      </c>
      <c r="JN13" s="343">
        <f t="shared" si="33"/>
        <v>40006.730663035516</v>
      </c>
      <c r="JO13" s="20">
        <v>66525.029500000019</v>
      </c>
      <c r="JP13" s="343">
        <f t="shared" si="34"/>
        <v>60330.513681892247</v>
      </c>
      <c r="JQ13" s="20">
        <v>54149.519</v>
      </c>
      <c r="JR13" s="343">
        <f t="shared" si="35"/>
        <v>49107.355854646907</v>
      </c>
      <c r="JS13" s="20">
        <v>291219.13010000007</v>
      </c>
      <c r="JT13" s="343">
        <f t="shared" si="36"/>
        <v>264102.09578226204</v>
      </c>
      <c r="JU13" s="20">
        <f t="shared" si="37"/>
        <v>2416396.105403665</v>
      </c>
      <c r="JV13" s="20">
        <f t="shared" si="37"/>
        <v>2216605.1023086514</v>
      </c>
      <c r="JW13" s="369">
        <f t="shared" si="9"/>
        <v>5.2277479010311527</v>
      </c>
      <c r="KA13" s="338">
        <v>8</v>
      </c>
      <c r="KB13" s="322">
        <v>8</v>
      </c>
      <c r="KC13" s="518">
        <f t="shared" si="10"/>
        <v>10</v>
      </c>
      <c r="KD13" s="518">
        <f t="shared" si="11"/>
        <v>10</v>
      </c>
      <c r="KE13" s="370">
        <f t="shared" si="12"/>
        <v>42400765</v>
      </c>
      <c r="KF13" s="370">
        <f t="shared" si="13"/>
        <v>44238466.771194585</v>
      </c>
      <c r="KG13" s="371">
        <f t="shared" si="38"/>
        <v>1</v>
      </c>
      <c r="KH13" s="371">
        <f t="shared" si="39"/>
        <v>1.0433412409232377</v>
      </c>
      <c r="KI13" s="371">
        <f t="shared" si="40"/>
        <v>1.04947806090816</v>
      </c>
      <c r="KJ13" s="322" t="s">
        <v>440</v>
      </c>
      <c r="KK13" s="322"/>
      <c r="KL13" s="323"/>
      <c r="KM13" s="322"/>
      <c r="KN13" s="338">
        <v>8</v>
      </c>
      <c r="KO13" s="322">
        <v>8</v>
      </c>
      <c r="KP13" s="437" t="str">
        <f t="shared" si="14"/>
        <v>Q4</v>
      </c>
      <c r="KQ13" s="373">
        <f t="shared" si="15"/>
        <v>1.04947806090816</v>
      </c>
      <c r="KR13" s="358">
        <f t="shared" si="41"/>
        <v>1101.8645865237693</v>
      </c>
      <c r="KS13" s="358">
        <f t="shared" si="42"/>
        <v>1156.3827096483369</v>
      </c>
      <c r="KT13" s="358">
        <f t="shared" si="16"/>
        <v>4100517</v>
      </c>
      <c r="KU13" s="358">
        <f t="shared" si="43"/>
        <v>4814455.6989664808</v>
      </c>
      <c r="KV13" s="358">
        <f t="shared" si="17"/>
        <v>1665222</v>
      </c>
      <c r="KW13" s="358">
        <f t="shared" si="18"/>
        <v>2642884.5408279262</v>
      </c>
      <c r="KX13" s="358">
        <f t="shared" si="44"/>
        <v>225000</v>
      </c>
      <c r="KY13" s="358">
        <f t="shared" si="45"/>
        <v>95518.409097540629</v>
      </c>
      <c r="KZ13" s="358">
        <f t="shared" si="46"/>
        <v>1891323.8645865237</v>
      </c>
      <c r="LA13" s="358">
        <f t="shared" si="46"/>
        <v>2739559.3326351154</v>
      </c>
      <c r="LB13" s="326"/>
      <c r="LC13" s="323"/>
      <c r="LD13" s="322"/>
      <c r="LE13" s="374">
        <f t="shared" si="71"/>
        <v>8</v>
      </c>
      <c r="LF13" s="375">
        <v>7</v>
      </c>
      <c r="LG13" s="376">
        <f t="shared" si="72"/>
        <v>1</v>
      </c>
      <c r="LH13" s="376">
        <f t="shared" si="72"/>
        <v>1.0433412409232377</v>
      </c>
      <c r="LI13" s="377">
        <v>106.45762205358784</v>
      </c>
      <c r="LJ13" s="290">
        <f t="shared" si="73"/>
        <v>606912.07010800531</v>
      </c>
      <c r="LK13" s="377">
        <v>106.45762205358784</v>
      </c>
      <c r="LL13" s="290">
        <f t="shared" si="47"/>
        <v>159530.01911334341</v>
      </c>
      <c r="LM13" s="377">
        <v>106.45762205358784</v>
      </c>
      <c r="LN13" s="290">
        <f t="shared" si="48"/>
        <v>326358.35275206564</v>
      </c>
      <c r="LO13" s="377">
        <v>118.614283549666</v>
      </c>
      <c r="LP13" s="290">
        <f t="shared" si="74"/>
        <v>547502.34391122684</v>
      </c>
      <c r="LQ13" s="377">
        <v>119.48337591187899</v>
      </c>
      <c r="LR13" s="290">
        <f t="shared" si="49"/>
        <v>161335.68629134001</v>
      </c>
      <c r="LS13" s="377">
        <v>157.07111615098</v>
      </c>
      <c r="LT13" s="290">
        <f t="shared" si="50"/>
        <v>62581.231609222123</v>
      </c>
      <c r="LU13" s="377">
        <v>112.15574935818501</v>
      </c>
      <c r="LV13" s="290">
        <f t="shared" si="51"/>
        <v>84292.761792935285</v>
      </c>
      <c r="LW13" s="377">
        <v>116.939890710382</v>
      </c>
      <c r="LX13" s="378">
        <f t="shared" si="52"/>
        <v>269102.57883735694</v>
      </c>
      <c r="LY13" s="379">
        <f t="shared" si="53"/>
        <v>2264276.6230272725</v>
      </c>
      <c r="LZ13" s="379">
        <f t="shared" si="75"/>
        <v>2217615.0444154954</v>
      </c>
      <c r="MA13" s="103"/>
      <c r="MB13" s="335"/>
      <c r="MD13" s="338">
        <v>8</v>
      </c>
      <c r="ME13" s="380">
        <v>8</v>
      </c>
      <c r="MF13" s="20">
        <f t="shared" si="19"/>
        <v>2316854.1013000002</v>
      </c>
      <c r="MG13" s="20">
        <f t="shared" si="19"/>
        <v>1891323.8645865237</v>
      </c>
      <c r="MH13" s="343">
        <f t="shared" si="20"/>
        <v>2739559.3326351154</v>
      </c>
      <c r="MI13" s="20">
        <f t="shared" si="21"/>
        <v>2416396.105403665</v>
      </c>
      <c r="MJ13" s="20">
        <f t="shared" si="21"/>
        <v>2216605.1023086514</v>
      </c>
      <c r="MK13" s="343">
        <f t="shared" si="54"/>
        <v>2326278.424570017</v>
      </c>
      <c r="ML13" s="20">
        <f t="shared" si="55"/>
        <v>-99542.004103664774</v>
      </c>
      <c r="MM13" s="20">
        <f t="shared" si="55"/>
        <v>-325281.2377221277</v>
      </c>
      <c r="MN13" s="20">
        <f t="shared" si="55"/>
        <v>413280.90806509834</v>
      </c>
      <c r="MR13" s="338">
        <f t="shared" si="76"/>
        <v>8</v>
      </c>
      <c r="MS13" s="346" t="s">
        <v>229</v>
      </c>
      <c r="MT13" s="479">
        <f>MT12-MT9</f>
        <v>18998322.143907189</v>
      </c>
      <c r="MX13" s="283">
        <f t="shared" si="85"/>
        <v>7</v>
      </c>
      <c r="MY13" s="285" t="s">
        <v>221</v>
      </c>
      <c r="MZ13" s="17"/>
      <c r="NA13" s="381"/>
      <c r="NB13" s="97"/>
      <c r="NC13" s="18"/>
      <c r="ND13" s="381"/>
      <c r="NH13" s="283">
        <f t="shared" si="86"/>
        <v>7</v>
      </c>
      <c r="NI13" s="285" t="str">
        <f t="shared" si="58"/>
        <v>Expenses</v>
      </c>
      <c r="NJ13" s="17"/>
      <c r="NK13" s="17"/>
      <c r="NL13" s="17"/>
      <c r="NM13" s="395"/>
      <c r="NQ13" s="480"/>
      <c r="NR13" s="480"/>
      <c r="NS13" s="17"/>
      <c r="NT13" s="383"/>
    </row>
    <row r="14" spans="2:387" ht="17.25" thickBot="1" x14ac:dyDescent="0.35">
      <c r="B14" s="265">
        <f t="shared" si="79"/>
        <v>9</v>
      </c>
      <c r="C14" s="384"/>
      <c r="D14" s="97" t="s">
        <v>47</v>
      </c>
      <c r="E14" s="286"/>
      <c r="F14" s="18">
        <f>CP9</f>
        <v>37593268.407299995</v>
      </c>
      <c r="G14" s="313">
        <f t="shared" ref="G14:G22" si="108">F14/F$24*100</f>
        <v>1.8087697778034015</v>
      </c>
      <c r="H14" s="18">
        <f>CT9</f>
        <v>36384668.568564288</v>
      </c>
      <c r="I14" s="309">
        <f t="shared" ref="I14:I22" si="109">H14/H$24*100</f>
        <v>1.7464127227111574</v>
      </c>
      <c r="J14" s="290">
        <f t="shared" si="59"/>
        <v>-1208599.8387357071</v>
      </c>
      <c r="K14" s="18">
        <f>JF26</f>
        <v>36992330.313946411</v>
      </c>
      <c r="L14" s="309">
        <f t="shared" ref="L14:L22" si="110">K14/K$24*100</f>
        <v>1.7511201271780921</v>
      </c>
      <c r="M14" s="290">
        <f t="shared" si="60"/>
        <v>607661.7453821227</v>
      </c>
      <c r="N14" s="18">
        <f>LJ27</f>
        <v>34063401.138201751</v>
      </c>
      <c r="O14" s="309">
        <f t="shared" ref="O14:O22" si="111">N14/N$24*100</f>
        <v>1.5454888777053184</v>
      </c>
      <c r="P14" s="290">
        <f t="shared" si="61"/>
        <v>-2928929.1757446602</v>
      </c>
      <c r="Q14" s="18">
        <f t="shared" si="62"/>
        <v>-3529867.2690982446</v>
      </c>
      <c r="R14" s="310">
        <f t="shared" si="63"/>
        <v>-0.14555799379720702</v>
      </c>
      <c r="V14" s="249">
        <f>V12+1</f>
        <v>6</v>
      </c>
      <c r="W14" s="345" t="s">
        <v>176</v>
      </c>
      <c r="X14" s="20">
        <f>SUMPRODUCT($MM$6:$MM$25,IE6:IE25)</f>
        <v>-1972230.5140231708</v>
      </c>
      <c r="Y14" s="20">
        <f>SUMPRODUCT($MM$6:$MM$25,IF6:IF25)</f>
        <v>1003817.910765946</v>
      </c>
      <c r="Z14" s="20">
        <f>SUMPRODUCT($MM$6:$MM$25,IG6:IG25)</f>
        <v>3951110.9603480091</v>
      </c>
      <c r="AA14" s="20">
        <f>SUM(X14:Z14)</f>
        <v>2982698.3570907842</v>
      </c>
      <c r="AB14" s="20"/>
      <c r="AF14" s="385">
        <f t="shared" si="80"/>
        <v>8</v>
      </c>
      <c r="AG14" s="282" t="s">
        <v>27</v>
      </c>
      <c r="AH14" s="97"/>
      <c r="AI14" s="97"/>
      <c r="AJ14" s="97"/>
      <c r="AL14" s="464"/>
      <c r="AN14" s="283">
        <v>9</v>
      </c>
      <c r="AO14" s="390"/>
      <c r="AP14" s="97"/>
      <c r="AQ14" s="97" t="s">
        <v>230</v>
      </c>
      <c r="AR14" s="286"/>
      <c r="AS14" s="392">
        <v>936011.74</v>
      </c>
      <c r="AT14" s="393">
        <v>9.1275439563570718E-2</v>
      </c>
      <c r="AU14" s="394"/>
      <c r="AV14" s="392">
        <v>1523068.1600000001</v>
      </c>
      <c r="AW14" s="393">
        <v>0.14113218958319465</v>
      </c>
      <c r="AX14" s="383">
        <f t="shared" si="96"/>
        <v>0.54622306129679221</v>
      </c>
      <c r="AY14" s="394"/>
      <c r="AZ14" s="392">
        <v>2211207.06</v>
      </c>
      <c r="BA14" s="393">
        <v>0.17139322328365042</v>
      </c>
      <c r="BB14" s="383">
        <f t="shared" si="97"/>
        <v>0.2144162418922686</v>
      </c>
      <c r="BC14" s="394"/>
      <c r="BD14" s="392">
        <v>2871478.9273906099</v>
      </c>
      <c r="BE14" s="393">
        <v>0.19525756518837487</v>
      </c>
      <c r="BF14" s="383">
        <f t="shared" si="98"/>
        <v>0.13923737151048088</v>
      </c>
      <c r="BG14" s="394"/>
      <c r="BH14" s="392">
        <v>3068616.0090000001</v>
      </c>
      <c r="BI14" s="393">
        <v>0.20193027022305846</v>
      </c>
      <c r="BJ14" s="383">
        <f t="shared" si="99"/>
        <v>3.4173861731022326E-2</v>
      </c>
      <c r="BK14" s="394"/>
      <c r="BL14" s="392">
        <v>3403828.76</v>
      </c>
      <c r="BM14" s="393">
        <v>0.20235219545286309</v>
      </c>
      <c r="BN14" s="383">
        <f t="shared" si="100"/>
        <v>2.0894600365688465E-3</v>
      </c>
      <c r="BO14" s="394"/>
      <c r="BP14" s="392">
        <v>4538272.1100000003</v>
      </c>
      <c r="BQ14" s="393">
        <v>0.24467837835281422</v>
      </c>
      <c r="BR14" s="383">
        <f t="shared" si="101"/>
        <v>0.20917086076197666</v>
      </c>
      <c r="BS14" s="394"/>
      <c r="BT14" s="97">
        <v>5378012</v>
      </c>
      <c r="BU14" s="97">
        <v>0.27</v>
      </c>
      <c r="BV14" s="97">
        <f t="shared" si="102"/>
        <v>0.10348941258174138</v>
      </c>
      <c r="BW14" s="18">
        <v>1768561.8457999995</v>
      </c>
      <c r="BX14" s="19">
        <v>9.1364858283556505E-2</v>
      </c>
      <c r="BY14" s="19">
        <f t="shared" si="65"/>
        <v>-0.66161163598682782</v>
      </c>
      <c r="BZ14" s="19">
        <v>1718931.8145400002</v>
      </c>
      <c r="CA14" s="19">
        <v>8.4265613047061122E-2</v>
      </c>
      <c r="CB14" s="19">
        <f t="shared" si="66"/>
        <v>-7.7702142485269743E-2</v>
      </c>
      <c r="CC14" s="18">
        <f t="shared" si="103"/>
        <v>2147244.1196499998</v>
      </c>
      <c r="CD14" s="19">
        <f t="shared" si="103"/>
        <v>0.10331291834244472</v>
      </c>
      <c r="CE14" s="395">
        <f t="shared" si="104"/>
        <v>0.22603888593020671</v>
      </c>
      <c r="CF14" s="396">
        <f t="shared" si="68"/>
        <v>1.2940354569163843</v>
      </c>
      <c r="CG14" s="395">
        <f t="shared" si="105"/>
        <v>4.7208938117930366E-2</v>
      </c>
      <c r="DA14" s="518"/>
      <c r="DW14" s="96"/>
      <c r="DX14" s="96"/>
      <c r="DY14" s="96"/>
      <c r="DZ14" s="96"/>
      <c r="EN14" s="103"/>
      <c r="EO14" s="408"/>
      <c r="FD14" s="103"/>
      <c r="FE14" s="408"/>
      <c r="FG14" s="283">
        <f t="shared" si="84"/>
        <v>9</v>
      </c>
      <c r="FH14" s="406"/>
      <c r="FI14" s="407" t="s">
        <v>231</v>
      </c>
      <c r="FJ14" s="17">
        <v>305</v>
      </c>
      <c r="FK14" s="17">
        <v>8147.64</v>
      </c>
      <c r="FL14" s="17">
        <v>47697.71</v>
      </c>
      <c r="FM14" s="290">
        <f t="shared" si="28"/>
        <v>56150.35</v>
      </c>
      <c r="FN14" s="17">
        <v>305</v>
      </c>
      <c r="FO14" s="17">
        <v>8147.64</v>
      </c>
      <c r="FP14" s="17">
        <v>47697.71</v>
      </c>
      <c r="FQ14" s="17">
        <v>56150.35</v>
      </c>
      <c r="FR14" s="17">
        <v>56150.35</v>
      </c>
      <c r="FS14" s="103"/>
      <c r="FT14" s="408"/>
      <c r="FV14" s="467">
        <v>9</v>
      </c>
      <c r="FW14" s="471" t="s">
        <v>89</v>
      </c>
      <c r="FX14" s="469">
        <f t="shared" ref="FX14:GE14" si="112">SUM(FX6:FX13)</f>
        <v>246822.49</v>
      </c>
      <c r="FY14" s="469">
        <f t="shared" si="112"/>
        <v>506083.3639</v>
      </c>
      <c r="FZ14" s="469">
        <f t="shared" si="112"/>
        <v>1023549.4600000001</v>
      </c>
      <c r="GA14" s="470">
        <f t="shared" si="112"/>
        <v>1776455.3139000002</v>
      </c>
      <c r="GB14" s="469">
        <f t="shared" si="112"/>
        <v>0</v>
      </c>
      <c r="GC14" s="469">
        <f t="shared" si="112"/>
        <v>0</v>
      </c>
      <c r="GD14" s="469">
        <f t="shared" si="112"/>
        <v>0</v>
      </c>
      <c r="GE14" s="470">
        <f t="shared" si="112"/>
        <v>0</v>
      </c>
      <c r="GG14" s="408"/>
      <c r="GT14" s="408"/>
      <c r="GV14" s="467">
        <v>9</v>
      </c>
      <c r="GW14" s="471" t="s">
        <v>89</v>
      </c>
      <c r="GX14" s="469">
        <f>SUM(GX6:GX13)</f>
        <v>338710.07999999996</v>
      </c>
      <c r="GY14" s="469">
        <f t="shared" ref="GY14:GZ14" si="113">SUM(GY6:GY13)</f>
        <v>639089.70390000008</v>
      </c>
      <c r="GZ14" s="469">
        <f t="shared" si="113"/>
        <v>1457690.61</v>
      </c>
      <c r="HA14" s="470">
        <f>SUM(HA6:HA13)</f>
        <v>2435490.3939</v>
      </c>
      <c r="HB14" s="469">
        <f>SUM(HB6:HB13)</f>
        <v>11038</v>
      </c>
      <c r="HC14" s="469">
        <f t="shared" ref="HC14:HD14" si="114">SUM(HC6:HC13)</f>
        <v>21162.850000000006</v>
      </c>
      <c r="HD14" s="469">
        <f t="shared" si="114"/>
        <v>183737.05000000002</v>
      </c>
      <c r="HE14" s="470">
        <f>SUM(HE6:HE13)</f>
        <v>215937.90000000002</v>
      </c>
      <c r="HF14" s="475"/>
      <c r="HG14" s="408"/>
      <c r="HT14" s="443"/>
      <c r="HW14" s="283">
        <v>9</v>
      </c>
      <c r="HX14" s="306">
        <v>9</v>
      </c>
      <c r="HY14" s="306">
        <v>10</v>
      </c>
      <c r="HZ14" s="306">
        <v>9</v>
      </c>
      <c r="IA14" s="307">
        <v>50085735</v>
      </c>
      <c r="IB14" s="307">
        <v>44598622</v>
      </c>
      <c r="IC14" s="309">
        <f t="shared" si="5"/>
        <v>0.9</v>
      </c>
      <c r="ID14" s="309">
        <f t="shared" si="6"/>
        <v>0.89044559294178272</v>
      </c>
      <c r="IE14" s="310">
        <v>1</v>
      </c>
      <c r="IF14" s="310">
        <v>0</v>
      </c>
      <c r="IG14" s="310">
        <v>0</v>
      </c>
      <c r="IK14" s="410">
        <v>9</v>
      </c>
      <c r="IL14" s="317">
        <v>9</v>
      </c>
      <c r="IM14" s="313">
        <f t="shared" si="7"/>
        <v>0.89044559294178272</v>
      </c>
      <c r="IN14" s="17">
        <v>2159</v>
      </c>
      <c r="IO14" s="290">
        <f t="shared" si="29"/>
        <v>1922.4720351613089</v>
      </c>
      <c r="IP14" s="17">
        <v>5473056</v>
      </c>
      <c r="IQ14" s="290">
        <v>4857219</v>
      </c>
      <c r="IR14" s="17">
        <v>2271628.8179000001</v>
      </c>
      <c r="IS14" s="290">
        <v>1988526</v>
      </c>
      <c r="IT14" s="17">
        <v>225000</v>
      </c>
      <c r="IU14" s="17">
        <v>202500</v>
      </c>
      <c r="IV14" s="17">
        <f t="shared" si="30"/>
        <v>2498787.8179000001</v>
      </c>
      <c r="IW14" s="17">
        <f t="shared" si="30"/>
        <v>2192948.4720351612</v>
      </c>
      <c r="IX14" s="314"/>
      <c r="IY14" s="315"/>
      <c r="IZ14" s="314"/>
      <c r="JA14" s="316">
        <v>9</v>
      </c>
      <c r="JB14" s="317">
        <v>9</v>
      </c>
      <c r="JC14" s="318">
        <f t="shared" si="8"/>
        <v>0.9</v>
      </c>
      <c r="JD14" s="319">
        <f t="shared" si="8"/>
        <v>0.89044559294178272</v>
      </c>
      <c r="JE14" s="17">
        <v>661661.50272715127</v>
      </c>
      <c r="JF14" s="290">
        <f t="shared" si="70"/>
        <v>589173.56912262924</v>
      </c>
      <c r="JG14" s="17">
        <v>71999.531000000003</v>
      </c>
      <c r="JH14" s="290">
        <f t="shared" si="31"/>
        <v>64111.665072825272</v>
      </c>
      <c r="JI14" s="17">
        <v>537177.27627284871</v>
      </c>
      <c r="JJ14" s="290">
        <f t="shared" si="32"/>
        <v>483459.54864556383</v>
      </c>
      <c r="JK14" s="17">
        <v>562035.46705548721</v>
      </c>
      <c r="JL14" s="290">
        <v>509053.48675124033</v>
      </c>
      <c r="JM14" s="17">
        <v>75881.84</v>
      </c>
      <c r="JN14" s="290">
        <f t="shared" si="33"/>
        <v>67568.650012313476</v>
      </c>
      <c r="JO14" s="17">
        <v>76271.200000000012</v>
      </c>
      <c r="JP14" s="290">
        <f t="shared" si="34"/>
        <v>67915.353908381308</v>
      </c>
      <c r="JQ14" s="17">
        <v>98619.73000000001</v>
      </c>
      <c r="JR14" s="290">
        <f t="shared" si="35"/>
        <v>87815.503955608525</v>
      </c>
      <c r="JS14" s="17">
        <v>286453.18775000004</v>
      </c>
      <c r="JT14" s="290">
        <f t="shared" si="36"/>
        <v>255070.97861611258</v>
      </c>
      <c r="JU14" s="17">
        <f t="shared" si="37"/>
        <v>2370099.7348054876</v>
      </c>
      <c r="JV14" s="17">
        <f t="shared" si="37"/>
        <v>2124168.7560846745</v>
      </c>
      <c r="JW14" s="320">
        <f t="shared" si="9"/>
        <v>4.762857372778635</v>
      </c>
      <c r="KA14" s="283">
        <v>9</v>
      </c>
      <c r="KB14" s="306">
        <v>9</v>
      </c>
      <c r="KC14" s="97">
        <f t="shared" si="10"/>
        <v>9</v>
      </c>
      <c r="KD14" s="97">
        <f t="shared" si="11"/>
        <v>9</v>
      </c>
      <c r="KE14" s="289">
        <f t="shared" si="12"/>
        <v>44598622</v>
      </c>
      <c r="KF14" s="289">
        <f t="shared" si="13"/>
        <v>46531581.620946407</v>
      </c>
      <c r="KG14" s="321">
        <f t="shared" si="38"/>
        <v>1</v>
      </c>
      <c r="KH14" s="321">
        <f t="shared" si="39"/>
        <v>1.0433412409232377</v>
      </c>
      <c r="KI14" s="321">
        <f t="shared" si="40"/>
        <v>0.94529743078731898</v>
      </c>
      <c r="KJ14" s="306" t="s">
        <v>441</v>
      </c>
      <c r="KK14" s="322"/>
      <c r="KL14" s="323"/>
      <c r="KM14" s="322"/>
      <c r="KN14" s="283">
        <v>9</v>
      </c>
      <c r="KO14" s="306">
        <v>9</v>
      </c>
      <c r="KP14" s="324" t="str">
        <f t="shared" si="14"/>
        <v>Q2</v>
      </c>
      <c r="KQ14" s="325">
        <f t="shared" si="15"/>
        <v>0.94529743078731898</v>
      </c>
      <c r="KR14" s="17">
        <f t="shared" si="41"/>
        <v>1922.4720351613089</v>
      </c>
      <c r="KS14" s="17">
        <f t="shared" si="42"/>
        <v>1817.3078755984536</v>
      </c>
      <c r="KT14" s="17">
        <f t="shared" si="16"/>
        <v>4857219</v>
      </c>
      <c r="KU14" s="17">
        <f t="shared" si="43"/>
        <v>5064014.5255386764</v>
      </c>
      <c r="KV14" s="17">
        <f t="shared" si="17"/>
        <v>1988526</v>
      </c>
      <c r="KW14" s="17">
        <f t="shared" si="18"/>
        <v>2779879.2928860663</v>
      </c>
      <c r="KX14" s="17">
        <f t="shared" si="44"/>
        <v>202500</v>
      </c>
      <c r="KY14" s="17">
        <f t="shared" si="45"/>
        <v>100469.63589884702</v>
      </c>
      <c r="KZ14" s="17">
        <f t="shared" si="46"/>
        <v>2192948.4720351612</v>
      </c>
      <c r="LA14" s="17">
        <f t="shared" si="46"/>
        <v>2882166.2366605117</v>
      </c>
      <c r="LB14" s="326"/>
      <c r="LC14" s="323"/>
      <c r="LD14" s="322"/>
      <c r="LE14" s="364">
        <f t="shared" si="71"/>
        <v>9</v>
      </c>
      <c r="LF14" s="365">
        <v>8</v>
      </c>
      <c r="LG14" s="411">
        <f t="shared" si="72"/>
        <v>1</v>
      </c>
      <c r="LH14" s="411">
        <f t="shared" si="72"/>
        <v>1.0433412409232377</v>
      </c>
      <c r="LI14" s="412">
        <v>92.086954396969617</v>
      </c>
      <c r="LJ14" s="343">
        <f t="shared" si="73"/>
        <v>738761.86860422988</v>
      </c>
      <c r="LK14" s="412">
        <v>92.086954396969617</v>
      </c>
      <c r="LL14" s="343">
        <f t="shared" si="47"/>
        <v>85198.430282086672</v>
      </c>
      <c r="LM14" s="412">
        <v>92.086954396969617</v>
      </c>
      <c r="LN14" s="343">
        <f t="shared" si="48"/>
        <v>444199.10595647164</v>
      </c>
      <c r="LO14" s="412">
        <v>119.50379714140099</v>
      </c>
      <c r="LP14" s="343">
        <f t="shared" si="74"/>
        <v>615583.30830531428</v>
      </c>
      <c r="LQ14" s="412">
        <v>120.433043671646</v>
      </c>
      <c r="LR14" s="343">
        <f t="shared" si="49"/>
        <v>43295.284646177759</v>
      </c>
      <c r="LS14" s="412">
        <v>146.40099357416699</v>
      </c>
      <c r="LT14" s="343">
        <f t="shared" si="50"/>
        <v>61403.273957773534</v>
      </c>
      <c r="LU14" s="412">
        <v>116.183248398364</v>
      </c>
      <c r="LV14" s="343">
        <f t="shared" si="51"/>
        <v>51996.142003024492</v>
      </c>
      <c r="LW14" s="412">
        <v>117.5956284153</v>
      </c>
      <c r="LX14" s="343">
        <f t="shared" si="52"/>
        <v>285841.01081493864</v>
      </c>
      <c r="LY14" s="20">
        <f t="shared" si="53"/>
        <v>2216605.1023086514</v>
      </c>
      <c r="LZ14" s="20">
        <f t="shared" si="75"/>
        <v>2326278.424570017</v>
      </c>
      <c r="MA14" s="103"/>
      <c r="MB14" s="335"/>
      <c r="MD14" s="283">
        <v>9</v>
      </c>
      <c r="ME14" s="336">
        <v>9</v>
      </c>
      <c r="MF14" s="17">
        <f t="shared" si="19"/>
        <v>2498787.8179000001</v>
      </c>
      <c r="MG14" s="17">
        <f t="shared" si="19"/>
        <v>2192948.4720351612</v>
      </c>
      <c r="MH14" s="290">
        <f t="shared" si="20"/>
        <v>2882166.2366605117</v>
      </c>
      <c r="MI14" s="17">
        <f t="shared" si="21"/>
        <v>2370099.7348054876</v>
      </c>
      <c r="MJ14" s="17">
        <f t="shared" si="21"/>
        <v>2124168.7560846745</v>
      </c>
      <c r="MK14" s="290">
        <f t="shared" si="54"/>
        <v>2007971.2676855382</v>
      </c>
      <c r="ML14" s="17">
        <f t="shared" si="55"/>
        <v>128688.08309451258</v>
      </c>
      <c r="MM14" s="17">
        <f t="shared" si="55"/>
        <v>68779.715950486716</v>
      </c>
      <c r="MN14" s="17">
        <f t="shared" si="55"/>
        <v>874194.96897497354</v>
      </c>
      <c r="MR14" s="475"/>
      <c r="MX14" s="338">
        <f t="shared" si="85"/>
        <v>8</v>
      </c>
      <c r="MY14" s="346" t="s">
        <v>47</v>
      </c>
      <c r="MZ14" s="20">
        <f t="shared" ref="MZ14:MZ21" si="115">N14</f>
        <v>34063401.138201751</v>
      </c>
      <c r="NA14" s="414">
        <f t="shared" ref="NA14:NA21" si="116">MZ14/$MZ$34*100</f>
        <v>1.5454888777053184</v>
      </c>
      <c r="NC14" s="15">
        <f t="shared" ref="NC14:NC20" si="117">MZ14</f>
        <v>34063401.138201751</v>
      </c>
      <c r="ND14" s="414">
        <f t="shared" ref="ND14:ND21" si="118">NC14/$ND$34*100</f>
        <v>1.5454888777053184</v>
      </c>
      <c r="NH14" s="338">
        <f t="shared" si="86"/>
        <v>8</v>
      </c>
      <c r="NI14" s="346" t="str">
        <f t="shared" si="58"/>
        <v>Direct Labour</v>
      </c>
      <c r="NJ14" s="20">
        <v>49085970.937008202</v>
      </c>
      <c r="NK14" s="20">
        <f t="shared" ref="NK14:NK21" si="119">MZ14</f>
        <v>34063401.138201751</v>
      </c>
      <c r="NL14" s="20">
        <f t="shared" si="77"/>
        <v>-15022569.798806451</v>
      </c>
      <c r="NM14" s="351">
        <f t="shared" si="78"/>
        <v>-0.30604609651268477</v>
      </c>
    </row>
    <row r="15" spans="2:387" x14ac:dyDescent="0.3">
      <c r="B15" s="226">
        <f t="shared" si="79"/>
        <v>10</v>
      </c>
      <c r="C15" s="339"/>
      <c r="D15" s="518" t="s">
        <v>48</v>
      </c>
      <c r="E15" s="340"/>
      <c r="F15" s="15">
        <f>DA9</f>
        <v>2147244.1196499998</v>
      </c>
      <c r="G15" s="341">
        <f t="shared" si="108"/>
        <v>0.10331291834244472</v>
      </c>
      <c r="H15" s="15">
        <f>DD9</f>
        <v>2147299.9196500001</v>
      </c>
      <c r="I15" s="342">
        <f t="shared" si="109"/>
        <v>0.103067364543576</v>
      </c>
      <c r="J15" s="343">
        <f t="shared" si="59"/>
        <v>55.800000000279397</v>
      </c>
      <c r="K15" s="15">
        <f>JH26</f>
        <v>2193064.0614437284</v>
      </c>
      <c r="L15" s="342">
        <f t="shared" si="110"/>
        <v>0.10381391454912514</v>
      </c>
      <c r="M15" s="343">
        <f t="shared" si="60"/>
        <v>45764.14179372834</v>
      </c>
      <c r="N15" s="15">
        <f>LL27</f>
        <v>2040374.277113318</v>
      </c>
      <c r="O15" s="342">
        <f t="shared" si="111"/>
        <v>9.2573719777447119E-2</v>
      </c>
      <c r="P15" s="343">
        <f t="shared" si="61"/>
        <v>-152689.78433041042</v>
      </c>
      <c r="Q15" s="15">
        <f t="shared" si="62"/>
        <v>-106869.8425366818</v>
      </c>
      <c r="R15" s="344">
        <f t="shared" si="63"/>
        <v>-0.10394826452778216</v>
      </c>
      <c r="V15" s="385">
        <f t="shared" si="64"/>
        <v>7</v>
      </c>
      <c r="W15" s="386" t="s">
        <v>185</v>
      </c>
      <c r="X15" s="309">
        <f>X14/K$24*100</f>
        <v>-9.3360232221940578E-2</v>
      </c>
      <c r="Y15" s="309">
        <f>Y14/K$24*100</f>
        <v>4.7518113420970481E-2</v>
      </c>
      <c r="Z15" s="309">
        <f>Z14/K$24*100</f>
        <v>0.18703525483959274</v>
      </c>
      <c r="AA15" s="309">
        <f>AA14/K$24*100</f>
        <v>0.14119313603862266</v>
      </c>
      <c r="AB15" s="342"/>
      <c r="AC15" s="348"/>
      <c r="AF15" s="249">
        <f t="shared" si="80"/>
        <v>9</v>
      </c>
      <c r="AG15" s="346" t="s">
        <v>78</v>
      </c>
      <c r="AH15" s="105">
        <f>AH11*JF27</f>
        <v>1801167.6941681006</v>
      </c>
      <c r="AI15" s="105">
        <f>AI11*JH27</f>
        <v>113098.61174829236</v>
      </c>
      <c r="AJ15" s="105">
        <f>AJ11*JJ27</f>
        <v>547397.97344627196</v>
      </c>
      <c r="AL15" s="464"/>
      <c r="AN15" s="338">
        <v>10</v>
      </c>
      <c r="AO15" s="96"/>
      <c r="AQ15" s="518" t="s">
        <v>49</v>
      </c>
      <c r="AR15" s="340"/>
      <c r="AS15" s="348">
        <v>7353821.8799999999</v>
      </c>
      <c r="AT15" s="349">
        <v>0.71710994198556099</v>
      </c>
      <c r="AU15" s="350"/>
      <c r="AV15" s="348">
        <v>7828448.5450000018</v>
      </c>
      <c r="AW15" s="349">
        <v>0.72540816833517452</v>
      </c>
      <c r="AX15" s="351">
        <f t="shared" si="96"/>
        <v>1.1571763078109143E-2</v>
      </c>
      <c r="AY15" s="350"/>
      <c r="AZ15" s="348">
        <v>8035314.9274999993</v>
      </c>
      <c r="BA15" s="349">
        <v>0.62282657759036675</v>
      </c>
      <c r="BB15" s="351">
        <f t="shared" si="97"/>
        <v>-0.14141223551457172</v>
      </c>
      <c r="BC15" s="350"/>
      <c r="BD15" s="348">
        <v>8562729.5753158554</v>
      </c>
      <c r="BE15" s="349">
        <v>0.58225665955417472</v>
      </c>
      <c r="BF15" s="351">
        <f t="shared" si="98"/>
        <v>-6.5138386022561279E-2</v>
      </c>
      <c r="BG15" s="350"/>
      <c r="BH15" s="348">
        <v>11045828.998199999</v>
      </c>
      <c r="BI15" s="349">
        <v>0.72687075473189988</v>
      </c>
      <c r="BJ15" s="351">
        <f t="shared" si="99"/>
        <v>0.24836829739045663</v>
      </c>
      <c r="BK15" s="350"/>
      <c r="BL15" s="348">
        <v>11568330.944249999</v>
      </c>
      <c r="BM15" s="349">
        <v>0.68771883938552769</v>
      </c>
      <c r="BN15" s="351">
        <f t="shared" si="100"/>
        <v>-5.3863654702703045E-2</v>
      </c>
      <c r="BO15" s="350"/>
      <c r="BP15" s="348">
        <v>12592679.530000001</v>
      </c>
      <c r="BQ15" s="349">
        <v>0.67892720661852923</v>
      </c>
      <c r="BR15" s="351">
        <f t="shared" si="101"/>
        <v>-1.2783760257104038E-2</v>
      </c>
      <c r="BS15" s="350"/>
      <c r="BT15" s="518">
        <v>14006160</v>
      </c>
      <c r="BU15" s="518">
        <v>0.71</v>
      </c>
      <c r="BV15" s="518">
        <f t="shared" si="102"/>
        <v>4.5767488883281304E-2</v>
      </c>
      <c r="BW15" s="15">
        <v>14529003.2212</v>
      </c>
      <c r="BX15" s="16">
        <v>0.75057613815354784</v>
      </c>
      <c r="BY15" s="16">
        <f t="shared" si="65"/>
        <v>5.71494903571097E-2</v>
      </c>
      <c r="BZ15" s="16">
        <v>16169362.853399999</v>
      </c>
      <c r="CA15" s="16">
        <v>0.79265580047847906</v>
      </c>
      <c r="CB15" s="16">
        <f t="shared" si="66"/>
        <v>5.6063149607245899E-2</v>
      </c>
      <c r="CC15" s="15">
        <f t="shared" si="103"/>
        <v>15891148.762049999</v>
      </c>
      <c r="CD15" s="16">
        <f t="shared" si="103"/>
        <v>0.76458980113025965</v>
      </c>
      <c r="CE15" s="352">
        <f t="shared" si="104"/>
        <v>-3.5407549318730358E-2</v>
      </c>
      <c r="CF15" s="353">
        <f t="shared" si="68"/>
        <v>1.1609374038918112</v>
      </c>
      <c r="CG15" s="352">
        <f t="shared" si="105"/>
        <v>4.3737368471468585E-2</v>
      </c>
      <c r="DA15" s="518"/>
      <c r="DK15" s="518"/>
      <c r="DQ15" s="537"/>
      <c r="DR15" s="537"/>
      <c r="DS15" s="537"/>
      <c r="DT15" s="537"/>
      <c r="DU15" s="537"/>
      <c r="DV15" s="537"/>
      <c r="DW15" s="537"/>
      <c r="DX15" s="537"/>
      <c r="DY15" s="537"/>
      <c r="DZ15" s="537"/>
      <c r="EN15" s="105"/>
      <c r="EO15" s="408"/>
      <c r="FD15" s="105"/>
      <c r="FE15" s="408"/>
      <c r="FG15" s="338">
        <f t="shared" si="84"/>
        <v>10</v>
      </c>
      <c r="FH15" s="360"/>
      <c r="FI15" s="361" t="s">
        <v>232</v>
      </c>
      <c r="FJ15" s="20">
        <v>31426.501999999997</v>
      </c>
      <c r="FK15" s="20">
        <v>84299.290000000008</v>
      </c>
      <c r="FL15" s="20">
        <v>302468.21000000002</v>
      </c>
      <c r="FM15" s="343">
        <f t="shared" si="28"/>
        <v>418194.00199999998</v>
      </c>
      <c r="FN15" s="20">
        <v>31693.168666666661</v>
      </c>
      <c r="FO15" s="20">
        <v>84736.09</v>
      </c>
      <c r="FP15" s="20">
        <v>302468.21000000002</v>
      </c>
      <c r="FQ15" s="20">
        <v>418897.46866666671</v>
      </c>
      <c r="FR15" s="20">
        <v>418897.46866666671</v>
      </c>
      <c r="FS15" s="103"/>
      <c r="FT15" s="408"/>
      <c r="GI15" s="481"/>
      <c r="GJ15" s="279"/>
      <c r="GK15" s="279"/>
      <c r="GL15" s="279"/>
      <c r="GM15" s="279"/>
      <c r="GN15" s="279"/>
      <c r="GO15" s="279"/>
      <c r="GP15" s="279"/>
      <c r="GQ15" s="279"/>
      <c r="GR15" s="279"/>
      <c r="HW15" s="338">
        <v>10</v>
      </c>
      <c r="HX15" s="322">
        <v>10</v>
      </c>
      <c r="HY15" s="322">
        <v>10</v>
      </c>
      <c r="HZ15" s="322">
        <v>12</v>
      </c>
      <c r="IA15" s="347">
        <v>66094200.81818182</v>
      </c>
      <c r="IB15" s="347">
        <v>78681161</v>
      </c>
      <c r="IC15" s="342">
        <f t="shared" si="5"/>
        <v>1.2</v>
      </c>
      <c r="ID15" s="342">
        <f t="shared" si="6"/>
        <v>1.1904397061467402</v>
      </c>
      <c r="IE15" s="344">
        <v>0.58333333333333337</v>
      </c>
      <c r="IF15" s="344">
        <v>0.41666666666666669</v>
      </c>
      <c r="IG15" s="344">
        <v>0</v>
      </c>
      <c r="IK15" s="364">
        <v>10</v>
      </c>
      <c r="IL15" s="365">
        <v>10</v>
      </c>
      <c r="IM15" s="341">
        <f t="shared" si="7"/>
        <v>1.1904397061467402</v>
      </c>
      <c r="IN15" s="20">
        <v>185.75</v>
      </c>
      <c r="IO15" s="343">
        <f t="shared" si="29"/>
        <v>221.124175416757</v>
      </c>
      <c r="IP15" s="20">
        <v>7200809.3636363633</v>
      </c>
      <c r="IQ15" s="343">
        <v>8577715</v>
      </c>
      <c r="IR15" s="20">
        <v>2984607.290836364</v>
      </c>
      <c r="IS15" s="343">
        <v>3513562</v>
      </c>
      <c r="IT15" s="20">
        <v>225000</v>
      </c>
      <c r="IU15" s="20">
        <v>270000</v>
      </c>
      <c r="IV15" s="20">
        <f t="shared" si="30"/>
        <v>3209793.040836364</v>
      </c>
      <c r="IW15" s="20">
        <f t="shared" si="30"/>
        <v>3783783.1241754168</v>
      </c>
      <c r="IX15" s="314"/>
      <c r="IY15" s="315"/>
      <c r="IZ15" s="314"/>
      <c r="JA15" s="366">
        <v>10</v>
      </c>
      <c r="JB15" s="365">
        <v>10</v>
      </c>
      <c r="JC15" s="367">
        <f t="shared" si="8"/>
        <v>1.2</v>
      </c>
      <c r="JD15" s="368">
        <f t="shared" si="8"/>
        <v>1.1904397061467402</v>
      </c>
      <c r="JE15" s="20">
        <v>1073020.2636695188</v>
      </c>
      <c r="JF15" s="343">
        <f t="shared" si="70"/>
        <v>1277365.9273722395</v>
      </c>
      <c r="JG15" s="20">
        <v>89875.028000000006</v>
      </c>
      <c r="JH15" s="343">
        <f t="shared" si="31"/>
        <v>106990.80192225006</v>
      </c>
      <c r="JI15" s="20">
        <v>572414.47014866315</v>
      </c>
      <c r="JJ15" s="343">
        <f t="shared" si="32"/>
        <v>686897.36417839571</v>
      </c>
      <c r="JK15" s="20">
        <v>662231.94988330337</v>
      </c>
      <c r="JL15" s="343">
        <v>791101.506315395</v>
      </c>
      <c r="JM15" s="20">
        <v>116059.51709090911</v>
      </c>
      <c r="JN15" s="343">
        <f t="shared" si="33"/>
        <v>138161.85742123442</v>
      </c>
      <c r="JO15" s="20">
        <v>46136.540909090909</v>
      </c>
      <c r="JP15" s="343">
        <f t="shared" si="34"/>
        <v>54922.770202445237</v>
      </c>
      <c r="JQ15" s="20">
        <v>82525.475909090906</v>
      </c>
      <c r="JR15" s="343">
        <f t="shared" si="35"/>
        <v>98241.603290838073</v>
      </c>
      <c r="JS15" s="20">
        <v>322787.53398636356</v>
      </c>
      <c r="JT15" s="343">
        <f t="shared" si="36"/>
        <v>384259.09710655757</v>
      </c>
      <c r="JU15" s="20">
        <f t="shared" si="37"/>
        <v>2965050.7795969401</v>
      </c>
      <c r="JV15" s="20">
        <f t="shared" si="37"/>
        <v>3537940.9278093553</v>
      </c>
      <c r="JW15" s="369">
        <f t="shared" si="9"/>
        <v>4.4965540452680353</v>
      </c>
      <c r="KA15" s="338">
        <v>10</v>
      </c>
      <c r="KB15" s="322">
        <v>10</v>
      </c>
      <c r="KC15" s="518">
        <f t="shared" si="10"/>
        <v>12</v>
      </c>
      <c r="KD15" s="518">
        <f t="shared" si="11"/>
        <v>12</v>
      </c>
      <c r="KE15" s="370">
        <f t="shared" si="12"/>
        <v>78681161</v>
      </c>
      <c r="KF15" s="370">
        <f t="shared" si="13"/>
        <v>82091300.155021057</v>
      </c>
      <c r="KG15" s="371">
        <f t="shared" si="38"/>
        <v>1</v>
      </c>
      <c r="KH15" s="371">
        <f t="shared" si="39"/>
        <v>1.0433412409232377</v>
      </c>
      <c r="KI15" s="371">
        <f t="shared" si="40"/>
        <v>0.97121114328331903</v>
      </c>
      <c r="KJ15" s="322" t="s">
        <v>256</v>
      </c>
      <c r="KK15" s="322"/>
      <c r="KL15" s="323"/>
      <c r="KM15" s="322"/>
      <c r="KN15" s="338">
        <v>10</v>
      </c>
      <c r="KO15" s="322">
        <v>10</v>
      </c>
      <c r="KP15" s="437" t="str">
        <f t="shared" si="14"/>
        <v>Q3</v>
      </c>
      <c r="KQ15" s="373">
        <f t="shared" si="15"/>
        <v>0.97121114328331903</v>
      </c>
      <c r="KR15" s="358">
        <f t="shared" si="41"/>
        <v>221.124175416757</v>
      </c>
      <c r="KS15" s="358">
        <f t="shared" si="42"/>
        <v>214.75826321408977</v>
      </c>
      <c r="KT15" s="358">
        <f t="shared" si="16"/>
        <v>8577715</v>
      </c>
      <c r="KU15" s="358">
        <f t="shared" si="43"/>
        <v>8933965.3182613403</v>
      </c>
      <c r="KV15" s="358">
        <f t="shared" si="17"/>
        <v>3513562</v>
      </c>
      <c r="KW15" s="358">
        <f t="shared" si="18"/>
        <v>4904280.0067709424</v>
      </c>
      <c r="KX15" s="358">
        <f t="shared" si="44"/>
        <v>270000</v>
      </c>
      <c r="KY15" s="358">
        <f t="shared" si="45"/>
        <v>177249.14455358198</v>
      </c>
      <c r="KZ15" s="358">
        <f t="shared" si="46"/>
        <v>3783783.1241754168</v>
      </c>
      <c r="LA15" s="358">
        <f t="shared" si="46"/>
        <v>5081743.909587739</v>
      </c>
      <c r="LB15" s="326"/>
      <c r="LC15" s="323"/>
      <c r="LD15" s="322"/>
      <c r="LE15" s="374">
        <f t="shared" si="71"/>
        <v>10</v>
      </c>
      <c r="LF15" s="375">
        <v>9</v>
      </c>
      <c r="LG15" s="376">
        <f t="shared" si="72"/>
        <v>1</v>
      </c>
      <c r="LH15" s="376">
        <f t="shared" si="72"/>
        <v>1.0433412409232377</v>
      </c>
      <c r="LI15" s="377">
        <v>113.92083696213525</v>
      </c>
      <c r="LJ15" s="290">
        <f t="shared" si="73"/>
        <v>506661.22932592471</v>
      </c>
      <c r="LK15" s="377">
        <v>113.92083696213525</v>
      </c>
      <c r="LL15" s="290">
        <f t="shared" si="47"/>
        <v>55132.980741654224</v>
      </c>
      <c r="LM15" s="377">
        <v>113.92083696213525</v>
      </c>
      <c r="LN15" s="290">
        <f t="shared" si="48"/>
        <v>398481.51935421076</v>
      </c>
      <c r="LO15" s="377">
        <v>118.41952153062</v>
      </c>
      <c r="LP15" s="290">
        <f t="shared" si="74"/>
        <v>533357.53493713646</v>
      </c>
      <c r="LQ15" s="377">
        <v>118.887537452888</v>
      </c>
      <c r="LR15" s="290">
        <f t="shared" si="49"/>
        <v>74073.37104998724</v>
      </c>
      <c r="LS15" s="377">
        <v>168.49721907230401</v>
      </c>
      <c r="LT15" s="290">
        <f t="shared" si="50"/>
        <v>60058.40019715557</v>
      </c>
      <c r="LU15" s="377">
        <v>107.679074448752</v>
      </c>
      <c r="LV15" s="290">
        <f t="shared" si="51"/>
        <v>100324.7230577906</v>
      </c>
      <c r="LW15" s="377">
        <v>115.99271402550001</v>
      </c>
      <c r="LX15" s="378">
        <f t="shared" si="52"/>
        <v>279881.50902167871</v>
      </c>
      <c r="LY15" s="379">
        <f t="shared" si="53"/>
        <v>2124168.7560846745</v>
      </c>
      <c r="LZ15" s="379">
        <f t="shared" si="75"/>
        <v>2007971.2676855382</v>
      </c>
      <c r="MA15" s="103"/>
      <c r="MB15" s="335"/>
      <c r="MD15" s="338">
        <v>10</v>
      </c>
      <c r="ME15" s="380">
        <v>10</v>
      </c>
      <c r="MF15" s="20">
        <f t="shared" si="19"/>
        <v>3209793.040836364</v>
      </c>
      <c r="MG15" s="20">
        <f t="shared" si="19"/>
        <v>3783783.1241754168</v>
      </c>
      <c r="MH15" s="343">
        <f t="shared" si="20"/>
        <v>5081743.909587739</v>
      </c>
      <c r="MI15" s="20">
        <f t="shared" si="21"/>
        <v>2965050.7795969401</v>
      </c>
      <c r="MJ15" s="20">
        <f t="shared" si="21"/>
        <v>3537940.9278093553</v>
      </c>
      <c r="MK15" s="343">
        <f t="shared" si="54"/>
        <v>3436087.6533665704</v>
      </c>
      <c r="ML15" s="20">
        <f t="shared" si="55"/>
        <v>244742.26123942388</v>
      </c>
      <c r="MM15" s="20">
        <f t="shared" si="55"/>
        <v>245842.19636606146</v>
      </c>
      <c r="MN15" s="20">
        <f t="shared" si="55"/>
        <v>1645656.2562211687</v>
      </c>
      <c r="MX15" s="283">
        <f t="shared" si="85"/>
        <v>9</v>
      </c>
      <c r="MY15" s="388" t="s">
        <v>58</v>
      </c>
      <c r="MZ15" s="17">
        <f t="shared" si="115"/>
        <v>2040374.277113318</v>
      </c>
      <c r="NA15" s="381">
        <f t="shared" si="116"/>
        <v>9.2573719777447119E-2</v>
      </c>
      <c r="NB15" s="97"/>
      <c r="NC15" s="18">
        <f t="shared" si="117"/>
        <v>2040374.277113318</v>
      </c>
      <c r="ND15" s="381">
        <f t="shared" si="118"/>
        <v>9.2573719777447119E-2</v>
      </c>
      <c r="NH15" s="283">
        <f t="shared" si="86"/>
        <v>9</v>
      </c>
      <c r="NI15" s="388" t="str">
        <f t="shared" si="58"/>
        <v>Contract Labour</v>
      </c>
      <c r="NJ15" s="17">
        <v>2413478.5233385852</v>
      </c>
      <c r="NK15" s="17">
        <f t="shared" si="119"/>
        <v>2040374.277113318</v>
      </c>
      <c r="NL15" s="17">
        <f t="shared" si="77"/>
        <v>-373104.24622526718</v>
      </c>
      <c r="NM15" s="395">
        <f t="shared" si="78"/>
        <v>-0.15459190650229981</v>
      </c>
    </row>
    <row r="16" spans="2:387" x14ac:dyDescent="0.3">
      <c r="B16" s="265">
        <f t="shared" si="79"/>
        <v>11</v>
      </c>
      <c r="C16" s="384"/>
      <c r="D16" s="97" t="s">
        <v>49</v>
      </c>
      <c r="E16" s="286"/>
      <c r="F16" s="18">
        <f>DK9</f>
        <v>15891148.762049999</v>
      </c>
      <c r="G16" s="313">
        <f t="shared" si="108"/>
        <v>0.76458980113025965</v>
      </c>
      <c r="H16" s="18">
        <f>DM9</f>
        <v>17229598.204603884</v>
      </c>
      <c r="I16" s="309">
        <f t="shared" si="109"/>
        <v>0.82699638874046988</v>
      </c>
      <c r="J16" s="290">
        <f t="shared" si="59"/>
        <v>1338449.4425538853</v>
      </c>
      <c r="K16" s="18">
        <f>JJ26</f>
        <v>17704130.732731506</v>
      </c>
      <c r="L16" s="309">
        <f t="shared" si="110"/>
        <v>0.83806722629177899</v>
      </c>
      <c r="M16" s="290">
        <f t="shared" si="60"/>
        <v>474532.52812762186</v>
      </c>
      <c r="N16" s="18">
        <f>LN27</f>
        <v>15711197.861928774</v>
      </c>
      <c r="O16" s="309">
        <f t="shared" si="111"/>
        <v>0.71283197624699524</v>
      </c>
      <c r="P16" s="290">
        <f t="shared" si="61"/>
        <v>-1992932.8708027322</v>
      </c>
      <c r="Q16" s="18">
        <f t="shared" si="62"/>
        <v>-179950.90012122504</v>
      </c>
      <c r="R16" s="310">
        <f t="shared" si="63"/>
        <v>-6.7693585248917887E-2</v>
      </c>
      <c r="V16" s="249">
        <f t="shared" si="64"/>
        <v>8</v>
      </c>
      <c r="W16" s="463" t="s">
        <v>134</v>
      </c>
      <c r="X16" s="20">
        <f>X14-X10</f>
        <v>1139133.5835034992</v>
      </c>
      <c r="Y16" s="20">
        <f t="shared" ref="Y16:AA16" si="120">Y14-Y10</f>
        <v>1002184.7413331178</v>
      </c>
      <c r="Z16" s="20">
        <f t="shared" si="120"/>
        <v>-2317494.9093960105</v>
      </c>
      <c r="AA16" s="20">
        <f t="shared" si="120"/>
        <v>-176176.58455939358</v>
      </c>
      <c r="AB16" s="20"/>
      <c r="AC16" s="349"/>
      <c r="AF16" s="385">
        <f t="shared" si="80"/>
        <v>10</v>
      </c>
      <c r="AG16" s="388" t="s">
        <v>186</v>
      </c>
      <c r="AH16" s="389">
        <f>AH15*3600/$K$24</f>
        <v>3.0694523728800589</v>
      </c>
      <c r="AI16" s="389">
        <f>AI15*3600/$K$24</f>
        <v>0.19273652493560511</v>
      </c>
      <c r="AJ16" s="389">
        <f>AJ15*3600/$K$24</f>
        <v>0.93284596095336303</v>
      </c>
      <c r="AL16" s="464"/>
      <c r="AN16" s="283">
        <f>AN15+1</f>
        <v>11</v>
      </c>
      <c r="AO16" s="390"/>
      <c r="AP16" s="390"/>
      <c r="AQ16" s="390" t="s">
        <v>50</v>
      </c>
      <c r="AR16" s="286"/>
      <c r="AS16" s="392">
        <v>3443976.8344000001</v>
      </c>
      <c r="AT16" s="393">
        <v>0.33584033829171284</v>
      </c>
      <c r="AU16" s="394"/>
      <c r="AV16" s="392">
        <v>5716425.9886499979</v>
      </c>
      <c r="AW16" s="393">
        <v>0.52970164931322072</v>
      </c>
      <c r="AX16" s="383">
        <f t="shared" si="96"/>
        <v>0.57724248375762066</v>
      </c>
      <c r="AY16" s="394"/>
      <c r="AZ16" s="392">
        <v>7023487.4984412417</v>
      </c>
      <c r="BA16" s="393">
        <v>0.54439866027303074</v>
      </c>
      <c r="BB16" s="383">
        <f t="shared" si="97"/>
        <v>2.7745828201338085E-2</v>
      </c>
      <c r="BC16" s="394"/>
      <c r="BD16" s="392">
        <v>8390599.8471698686</v>
      </c>
      <c r="BE16" s="393">
        <v>0.57055201798647071</v>
      </c>
      <c r="BF16" s="383">
        <f t="shared" si="98"/>
        <v>4.8040819388356581E-2</v>
      </c>
      <c r="BG16" s="394"/>
      <c r="BH16" s="392">
        <v>9500186.8885000013</v>
      </c>
      <c r="BI16" s="393">
        <v>0.62515977885076657</v>
      </c>
      <c r="BJ16" s="383">
        <f t="shared" si="99"/>
        <v>9.5710398250822948E-2</v>
      </c>
      <c r="BK16" s="394"/>
      <c r="BL16" s="392">
        <v>10661854.069499999</v>
      </c>
      <c r="BM16" s="393">
        <v>0.63383023373989222</v>
      </c>
      <c r="BN16" s="383">
        <f t="shared" si="100"/>
        <v>1.386918221940725E-2</v>
      </c>
      <c r="BO16" s="394"/>
      <c r="BP16" s="392">
        <v>13069899.7289</v>
      </c>
      <c r="BQ16" s="393">
        <v>0.70465626418798799</v>
      </c>
      <c r="BR16" s="383">
        <f t="shared" si="101"/>
        <v>0.11174290319063718</v>
      </c>
      <c r="BS16" s="394"/>
      <c r="BT16" s="97">
        <v>15592449</v>
      </c>
      <c r="BU16" s="97">
        <v>0.79</v>
      </c>
      <c r="BV16" s="97">
        <f t="shared" si="102"/>
        <v>0.12111399578680837</v>
      </c>
      <c r="BW16" s="18">
        <v>21298745.488500003</v>
      </c>
      <c r="BX16" s="19">
        <v>1.100304672859262</v>
      </c>
      <c r="BY16" s="19">
        <f t="shared" si="65"/>
        <v>0.39279072513830626</v>
      </c>
      <c r="BZ16" s="19">
        <v>23700279.210100003</v>
      </c>
      <c r="CA16" s="19">
        <v>1.1618369851162706</v>
      </c>
      <c r="CB16" s="19">
        <f t="shared" si="66"/>
        <v>5.5922976403535829E-2</v>
      </c>
      <c r="CC16" s="18">
        <f t="shared" si="103"/>
        <v>24697713.659500003</v>
      </c>
      <c r="CD16" s="19">
        <f t="shared" si="103"/>
        <v>1.1883105657147701</v>
      </c>
      <c r="CE16" s="395">
        <f t="shared" si="104"/>
        <v>2.2785968201769924E-2</v>
      </c>
      <c r="CF16" s="396">
        <f t="shared" si="68"/>
        <v>6.1712775221970295</v>
      </c>
      <c r="CG16" s="395">
        <f t="shared" si="105"/>
        <v>0.11566328314482499</v>
      </c>
      <c r="DA16" s="518"/>
      <c r="DK16" s="518"/>
      <c r="DQ16" s="537"/>
      <c r="DR16" s="537"/>
      <c r="DS16" s="537"/>
      <c r="DT16" s="537"/>
      <c r="DU16" s="537"/>
      <c r="DV16" s="537"/>
      <c r="DW16" s="537"/>
      <c r="DX16" s="537"/>
      <c r="DY16" s="537"/>
      <c r="DZ16" s="537"/>
      <c r="EN16" s="482"/>
      <c r="EO16" s="408"/>
      <c r="FD16" s="482"/>
      <c r="FE16" s="408"/>
      <c r="FG16" s="283">
        <f t="shared" si="84"/>
        <v>11</v>
      </c>
      <c r="FH16" s="406"/>
      <c r="FI16" s="407" t="s">
        <v>233</v>
      </c>
      <c r="FJ16" s="17">
        <v>83333.559999999983</v>
      </c>
      <c r="FK16" s="17">
        <v>215960.19999999998</v>
      </c>
      <c r="FL16" s="17">
        <v>506222.52</v>
      </c>
      <c r="FM16" s="290">
        <f t="shared" si="28"/>
        <v>805516.27999999991</v>
      </c>
      <c r="FN16" s="17">
        <v>87054.353030303013</v>
      </c>
      <c r="FO16" s="17">
        <v>217398.19999999998</v>
      </c>
      <c r="FP16" s="17">
        <v>506222.52000000014</v>
      </c>
      <c r="FQ16" s="17">
        <v>810675.07303030312</v>
      </c>
      <c r="FR16" s="17">
        <v>810675.07303030312</v>
      </c>
      <c r="FS16" s="103"/>
      <c r="FT16" s="408"/>
      <c r="GK16" s="344"/>
      <c r="GL16" s="344"/>
      <c r="GM16" s="344"/>
      <c r="GN16" s="344"/>
      <c r="GO16" s="344"/>
      <c r="GP16" s="344"/>
      <c r="GQ16" s="344"/>
      <c r="GR16" s="344"/>
      <c r="HW16" s="283">
        <v>11</v>
      </c>
      <c r="HX16" s="306">
        <v>11</v>
      </c>
      <c r="HY16" s="306">
        <v>10</v>
      </c>
      <c r="HZ16" s="306">
        <v>10</v>
      </c>
      <c r="IA16" s="307">
        <v>80622257</v>
      </c>
      <c r="IB16" s="307">
        <v>83015823</v>
      </c>
      <c r="IC16" s="309">
        <f t="shared" si="5"/>
        <v>1</v>
      </c>
      <c r="ID16" s="309">
        <f t="shared" si="6"/>
        <v>1.0296886503685949</v>
      </c>
      <c r="IE16" s="310">
        <v>0</v>
      </c>
      <c r="IF16" s="310">
        <v>1</v>
      </c>
      <c r="IG16" s="310">
        <v>0</v>
      </c>
      <c r="IK16" s="410">
        <v>11</v>
      </c>
      <c r="IL16" s="317">
        <v>11</v>
      </c>
      <c r="IM16" s="313">
        <f t="shared" si="7"/>
        <v>1.0296886503685949</v>
      </c>
      <c r="IN16" s="17">
        <v>0</v>
      </c>
      <c r="IO16" s="290">
        <f t="shared" si="29"/>
        <v>0</v>
      </c>
      <c r="IP16" s="17">
        <v>8901393</v>
      </c>
      <c r="IQ16" s="290">
        <v>9057976</v>
      </c>
      <c r="IR16" s="17">
        <v>3757373.3893999998</v>
      </c>
      <c r="IS16" s="290">
        <v>3781161</v>
      </c>
      <c r="IT16" s="17">
        <v>225000</v>
      </c>
      <c r="IU16" s="17">
        <v>225000</v>
      </c>
      <c r="IV16" s="17">
        <f t="shared" si="30"/>
        <v>3982373.3893999998</v>
      </c>
      <c r="IW16" s="17">
        <f t="shared" si="30"/>
        <v>4006161</v>
      </c>
      <c r="IX16" s="314"/>
      <c r="IY16" s="315"/>
      <c r="IZ16" s="314"/>
      <c r="JA16" s="316">
        <v>11</v>
      </c>
      <c r="JB16" s="317">
        <v>11</v>
      </c>
      <c r="JC16" s="318">
        <f t="shared" si="8"/>
        <v>1</v>
      </c>
      <c r="JD16" s="319">
        <f t="shared" si="8"/>
        <v>1.0296886503685949</v>
      </c>
      <c r="JE16" s="17">
        <v>1255752.9763298852</v>
      </c>
      <c r="JF16" s="290">
        <f t="shared" si="70"/>
        <v>1293034.5873934657</v>
      </c>
      <c r="JG16" s="17">
        <v>87580.62999999999</v>
      </c>
      <c r="JH16" s="290">
        <f t="shared" si="31"/>
        <v>90180.78070313127</v>
      </c>
      <c r="JI16" s="17">
        <v>639216.06367011496</v>
      </c>
      <c r="JJ16" s="290">
        <f t="shared" si="32"/>
        <v>639216.06367011496</v>
      </c>
      <c r="JK16" s="17">
        <v>1076517.2886915016</v>
      </c>
      <c r="JL16" s="290">
        <v>1076517.2886915016</v>
      </c>
      <c r="JM16" s="17">
        <v>55586.068000000007</v>
      </c>
      <c r="JN16" s="290">
        <f t="shared" si="33"/>
        <v>57236.343338216946</v>
      </c>
      <c r="JO16" s="17">
        <v>41360.133999999998</v>
      </c>
      <c r="JP16" s="290">
        <f t="shared" si="34"/>
        <v>42588.06055752423</v>
      </c>
      <c r="JQ16" s="17">
        <v>92360.92</v>
      </c>
      <c r="JR16" s="290">
        <f t="shared" si="35"/>
        <v>95102.991061601759</v>
      </c>
      <c r="JS16" s="17">
        <v>306414.38704999996</v>
      </c>
      <c r="JT16" s="290">
        <f t="shared" si="36"/>
        <v>315511.4166550347</v>
      </c>
      <c r="JU16" s="17">
        <f t="shared" si="37"/>
        <v>3554788.4677415015</v>
      </c>
      <c r="JV16" s="17">
        <f t="shared" si="37"/>
        <v>3609387.5320705916</v>
      </c>
      <c r="JW16" s="320">
        <f t="shared" si="9"/>
        <v>4.347830813013311</v>
      </c>
      <c r="KA16" s="283">
        <v>11</v>
      </c>
      <c r="KB16" s="306">
        <v>11</v>
      </c>
      <c r="KC16" s="97">
        <f t="shared" si="10"/>
        <v>10</v>
      </c>
      <c r="KD16" s="97">
        <f t="shared" si="11"/>
        <v>10</v>
      </c>
      <c r="KE16" s="289">
        <f t="shared" si="12"/>
        <v>83015823</v>
      </c>
      <c r="KF16" s="289">
        <f t="shared" si="13"/>
        <v>86613831.78508386</v>
      </c>
      <c r="KG16" s="321">
        <f t="shared" si="38"/>
        <v>1</v>
      </c>
      <c r="KH16" s="321">
        <f t="shared" si="39"/>
        <v>1.0433412409232377</v>
      </c>
      <c r="KI16" s="321">
        <f t="shared" si="40"/>
        <v>0.97337628089668937</v>
      </c>
      <c r="KJ16" s="306" t="s">
        <v>256</v>
      </c>
      <c r="KK16" s="322"/>
      <c r="KL16" s="323"/>
      <c r="KM16" s="322"/>
      <c r="KN16" s="283">
        <v>11</v>
      </c>
      <c r="KO16" s="306">
        <v>11</v>
      </c>
      <c r="KP16" s="324" t="str">
        <f t="shared" si="14"/>
        <v>Q3</v>
      </c>
      <c r="KQ16" s="325">
        <f t="shared" si="15"/>
        <v>0.97337628089668937</v>
      </c>
      <c r="KR16" s="17">
        <f t="shared" si="41"/>
        <v>0</v>
      </c>
      <c r="KS16" s="17">
        <f t="shared" si="42"/>
        <v>0</v>
      </c>
      <c r="KT16" s="17">
        <f t="shared" si="16"/>
        <v>9057976</v>
      </c>
      <c r="KU16" s="17">
        <f t="shared" si="43"/>
        <v>9426150.7344677094</v>
      </c>
      <c r="KV16" s="17">
        <f t="shared" si="17"/>
        <v>3781161</v>
      </c>
      <c r="KW16" s="17">
        <f t="shared" si="18"/>
        <v>5174464.0751365554</v>
      </c>
      <c r="KX16" s="17">
        <f t="shared" si="44"/>
        <v>225000</v>
      </c>
      <c r="KY16" s="17">
        <f t="shared" si="45"/>
        <v>187014.063139734</v>
      </c>
      <c r="KZ16" s="17">
        <f t="shared" si="46"/>
        <v>4006161</v>
      </c>
      <c r="LA16" s="17">
        <f t="shared" si="46"/>
        <v>5361478.1382762892</v>
      </c>
      <c r="LB16" s="326"/>
      <c r="LC16" s="323"/>
      <c r="LD16" s="322"/>
      <c r="LE16" s="364">
        <f t="shared" si="71"/>
        <v>11</v>
      </c>
      <c r="LF16" s="365">
        <v>10</v>
      </c>
      <c r="LG16" s="411">
        <f t="shared" si="72"/>
        <v>1</v>
      </c>
      <c r="LH16" s="411">
        <f t="shared" si="72"/>
        <v>1.0433412409232377</v>
      </c>
      <c r="LI16" s="412">
        <v>106.45762205358784</v>
      </c>
      <c r="LJ16" s="343">
        <f t="shared" si="73"/>
        <v>1175482.4520641901</v>
      </c>
      <c r="LK16" s="412">
        <v>106.45762205358784</v>
      </c>
      <c r="LL16" s="343">
        <f t="shared" si="47"/>
        <v>98457.151155270258</v>
      </c>
      <c r="LM16" s="412">
        <v>106.45762205358784</v>
      </c>
      <c r="LN16" s="343">
        <f t="shared" si="48"/>
        <v>605851.6544001993</v>
      </c>
      <c r="LO16" s="412">
        <v>118.614283549666</v>
      </c>
      <c r="LP16" s="343">
        <f t="shared" si="74"/>
        <v>827510.55484717013</v>
      </c>
      <c r="LQ16" s="412">
        <v>119.48337591187899</v>
      </c>
      <c r="LR16" s="343">
        <f t="shared" si="49"/>
        <v>150707.15711704048</v>
      </c>
      <c r="LS16" s="412">
        <v>157.07111615098</v>
      </c>
      <c r="LT16" s="343">
        <f t="shared" si="50"/>
        <v>52102.02862757627</v>
      </c>
      <c r="LU16" s="412">
        <v>112.15574935818501</v>
      </c>
      <c r="LV16" s="343">
        <f t="shared" si="51"/>
        <v>107756.13000255327</v>
      </c>
      <c r="LW16" s="412">
        <v>116.939890710382</v>
      </c>
      <c r="LX16" s="343">
        <f t="shared" si="52"/>
        <v>418220.52515257092</v>
      </c>
      <c r="LY16" s="20">
        <f t="shared" si="53"/>
        <v>3537940.9278093553</v>
      </c>
      <c r="LZ16" s="20">
        <f t="shared" si="75"/>
        <v>3436087.6533665704</v>
      </c>
      <c r="MA16" s="103"/>
      <c r="MB16" s="335"/>
      <c r="MD16" s="283">
        <v>11</v>
      </c>
      <c r="ME16" s="336">
        <v>11</v>
      </c>
      <c r="MF16" s="17">
        <f t="shared" si="19"/>
        <v>3982373.3893999998</v>
      </c>
      <c r="MG16" s="17">
        <f t="shared" si="19"/>
        <v>4006161</v>
      </c>
      <c r="MH16" s="290">
        <f t="shared" si="20"/>
        <v>5361478.1382762892</v>
      </c>
      <c r="MI16" s="17">
        <f t="shared" si="21"/>
        <v>3554788.4677415015</v>
      </c>
      <c r="MJ16" s="17">
        <f t="shared" si="21"/>
        <v>3609387.5320705916</v>
      </c>
      <c r="MK16" s="290">
        <f t="shared" si="54"/>
        <v>3513292.2122817524</v>
      </c>
      <c r="ML16" s="17">
        <f t="shared" si="55"/>
        <v>427584.92165849824</v>
      </c>
      <c r="MM16" s="17">
        <f t="shared" si="55"/>
        <v>396773.46792940842</v>
      </c>
      <c r="MN16" s="17">
        <f t="shared" si="55"/>
        <v>1848185.9259945368</v>
      </c>
      <c r="MX16" s="338">
        <f t="shared" si="85"/>
        <v>10</v>
      </c>
      <c r="MY16" s="346" t="s">
        <v>49</v>
      </c>
      <c r="MZ16" s="20">
        <f t="shared" si="115"/>
        <v>15711197.861928774</v>
      </c>
      <c r="NA16" s="414">
        <f t="shared" si="116"/>
        <v>0.71283197624699524</v>
      </c>
      <c r="NC16" s="15">
        <f t="shared" si="117"/>
        <v>15711197.861928774</v>
      </c>
      <c r="ND16" s="414">
        <f t="shared" si="118"/>
        <v>0.71283197624699524</v>
      </c>
      <c r="NH16" s="338">
        <f t="shared" si="86"/>
        <v>10</v>
      </c>
      <c r="NI16" s="346" t="str">
        <f t="shared" si="58"/>
        <v>Overhead Labour</v>
      </c>
      <c r="NJ16" s="20">
        <v>23349083.540678918</v>
      </c>
      <c r="NK16" s="20">
        <f t="shared" si="119"/>
        <v>15711197.861928774</v>
      </c>
      <c r="NL16" s="20">
        <f t="shared" si="77"/>
        <v>-7637885.6787501443</v>
      </c>
      <c r="NM16" s="351">
        <f t="shared" si="78"/>
        <v>-0.32711715067717206</v>
      </c>
    </row>
    <row r="17" spans="2:377" x14ac:dyDescent="0.3">
      <c r="B17" s="226">
        <f t="shared" si="79"/>
        <v>12</v>
      </c>
      <c r="C17" s="339"/>
      <c r="D17" s="518" t="s">
        <v>50</v>
      </c>
      <c r="E17" s="340"/>
      <c r="F17" s="15">
        <f>DV12</f>
        <v>24697713.659500003</v>
      </c>
      <c r="G17" s="341">
        <f t="shared" si="108"/>
        <v>1.1883105657147701</v>
      </c>
      <c r="H17" s="15">
        <f>DZ12</f>
        <v>20963340.954979219</v>
      </c>
      <c r="I17" s="342">
        <f t="shared" si="109"/>
        <v>1.0062107693881408</v>
      </c>
      <c r="J17" s="343">
        <f t="shared" si="59"/>
        <v>-3734372.7045207843</v>
      </c>
      <c r="K17" s="15">
        <f>JL26</f>
        <v>21765718.436968524</v>
      </c>
      <c r="L17" s="342">
        <f t="shared" si="110"/>
        <v>1.0303321611263139</v>
      </c>
      <c r="M17" s="343">
        <f t="shared" si="60"/>
        <v>802377.48198930547</v>
      </c>
      <c r="N17" s="15">
        <f>LP27</f>
        <v>22755368.059679482</v>
      </c>
      <c r="O17" s="342">
        <f t="shared" si="111"/>
        <v>1.0324326717006762</v>
      </c>
      <c r="P17" s="343">
        <f t="shared" si="61"/>
        <v>989649.62271095812</v>
      </c>
      <c r="Q17" s="15">
        <f t="shared" si="62"/>
        <v>-1942345.5998205207</v>
      </c>
      <c r="R17" s="344">
        <f t="shared" si="63"/>
        <v>-0.13117605658949361</v>
      </c>
      <c r="V17" s="275"/>
      <c r="W17" s="276" t="s">
        <v>28</v>
      </c>
      <c r="X17" s="415"/>
      <c r="Y17" s="416"/>
      <c r="Z17" s="416"/>
      <c r="AA17" s="416"/>
      <c r="AB17" s="279"/>
      <c r="AC17" s="351"/>
      <c r="AF17" s="417">
        <f t="shared" si="80"/>
        <v>11</v>
      </c>
      <c r="AG17" s="418" t="s">
        <v>195</v>
      </c>
      <c r="AH17" s="477">
        <f>JF26/AH15</f>
        <v>20.537971247053672</v>
      </c>
      <c r="AI17" s="477">
        <f>JH26/AI15</f>
        <v>19.390724851022238</v>
      </c>
      <c r="AJ17" s="477">
        <f>JJ26/AJ15</f>
        <v>32.342338831236461</v>
      </c>
      <c r="AL17" s="464"/>
      <c r="AN17" s="338">
        <f t="shared" ref="AN17:AN20" si="121">AN16+1</f>
        <v>12</v>
      </c>
      <c r="AO17" s="96"/>
      <c r="AQ17" s="518" t="s">
        <v>234</v>
      </c>
      <c r="AR17" s="340"/>
      <c r="AS17" s="348">
        <v>1216501.406</v>
      </c>
      <c r="AT17" s="349">
        <v>0.11862746567938538</v>
      </c>
      <c r="AU17" s="350"/>
      <c r="AV17" s="348">
        <v>2361150.2250000001</v>
      </c>
      <c r="AW17" s="349">
        <v>0.2187914565748014</v>
      </c>
      <c r="AX17" s="351">
        <f t="shared" si="96"/>
        <v>0.84435750457764458</v>
      </c>
      <c r="AY17" s="350"/>
      <c r="AZ17" s="348">
        <v>2483160.2930935998</v>
      </c>
      <c r="BA17" s="349">
        <v>0.19247263373122833</v>
      </c>
      <c r="BB17" s="351">
        <f t="shared" si="97"/>
        <v>-0.12029182151623485</v>
      </c>
      <c r="BC17" s="350"/>
      <c r="BD17" s="348">
        <v>3556357.1057280144</v>
      </c>
      <c r="BE17" s="349">
        <v>0.24182856533648778</v>
      </c>
      <c r="BF17" s="351">
        <f t="shared" si="98"/>
        <v>0.25643090473932428</v>
      </c>
      <c r="BG17" s="350"/>
      <c r="BH17" s="348">
        <v>3747904.7313999999</v>
      </c>
      <c r="BI17" s="349">
        <v>0.24663086321723002</v>
      </c>
      <c r="BJ17" s="351">
        <f t="shared" si="99"/>
        <v>1.9858273872898957E-2</v>
      </c>
      <c r="BK17" s="350"/>
      <c r="BL17" s="348">
        <v>4022436.6702577379</v>
      </c>
      <c r="BM17" s="349">
        <v>0.23912744990636886</v>
      </c>
      <c r="BN17" s="351">
        <f t="shared" si="100"/>
        <v>-3.0423659119468094E-2</v>
      </c>
      <c r="BO17" s="350"/>
      <c r="BP17" s="105">
        <v>5745533.5202000001</v>
      </c>
      <c r="BQ17" s="349">
        <v>0.30976719562421123</v>
      </c>
      <c r="BR17" s="351">
        <f t="shared" si="101"/>
        <v>0.29540626032478334</v>
      </c>
      <c r="BS17" s="350"/>
      <c r="BT17" s="518">
        <v>6723403</v>
      </c>
      <c r="BU17" s="518">
        <v>0.34</v>
      </c>
      <c r="BV17" s="518">
        <f t="shared" si="102"/>
        <v>9.759847008611322E-2</v>
      </c>
      <c r="BW17" s="15">
        <v>7155288.9644999998</v>
      </c>
      <c r="BX17" s="16">
        <v>0.36964608490901918</v>
      </c>
      <c r="BY17" s="16">
        <f t="shared" si="65"/>
        <v>8.7194367379468174E-2</v>
      </c>
      <c r="BZ17" s="16">
        <v>8029824.328999999</v>
      </c>
      <c r="CA17" s="16">
        <v>0.39363869120338835</v>
      </c>
      <c r="CB17" s="16">
        <f t="shared" si="66"/>
        <v>6.4906967160965445E-2</v>
      </c>
      <c r="CC17" s="15">
        <f>F18+F19</f>
        <v>8459101.3854999989</v>
      </c>
      <c r="CD17" s="16">
        <f>G18+G19</f>
        <v>0.4070028380532128</v>
      </c>
      <c r="CE17" s="352">
        <f t="shared" si="104"/>
        <v>3.3950287785402988E-2</v>
      </c>
      <c r="CF17" s="353">
        <f t="shared" si="68"/>
        <v>5.9536305866793215</v>
      </c>
      <c r="CG17" s="352">
        <f t="shared" si="105"/>
        <v>0.1137546600202497</v>
      </c>
      <c r="CX17" s="438"/>
      <c r="CY17" s="455"/>
      <c r="CZ17" s="105"/>
      <c r="DA17" s="518"/>
      <c r="DB17" s="105"/>
      <c r="DK17" s="518"/>
      <c r="DQ17" s="537"/>
      <c r="DR17" s="537"/>
      <c r="DS17" s="537"/>
      <c r="DT17" s="537"/>
      <c r="DU17" s="537"/>
      <c r="DV17" s="537"/>
      <c r="DW17" s="537"/>
      <c r="DX17" s="537"/>
      <c r="DY17" s="537"/>
      <c r="DZ17" s="537"/>
      <c r="EI17" s="347"/>
      <c r="EO17" s="408"/>
      <c r="FE17" s="408"/>
      <c r="FG17" s="338">
        <f t="shared" si="84"/>
        <v>12</v>
      </c>
      <c r="FH17" s="360"/>
      <c r="FI17" s="361" t="s">
        <v>235</v>
      </c>
      <c r="FJ17" s="20">
        <v>28956.02</v>
      </c>
      <c r="FK17" s="20">
        <v>96946.930000000008</v>
      </c>
      <c r="FL17" s="20">
        <v>141566.59</v>
      </c>
      <c r="FM17" s="343">
        <f t="shared" si="28"/>
        <v>267469.53999999998</v>
      </c>
      <c r="FN17" s="20">
        <v>29235.52</v>
      </c>
      <c r="FO17" s="20">
        <v>97827.53</v>
      </c>
      <c r="FP17" s="20">
        <v>141566.59000000003</v>
      </c>
      <c r="FQ17" s="20">
        <v>268629.64</v>
      </c>
      <c r="FR17" s="20">
        <v>268629.64</v>
      </c>
      <c r="FS17" s="103"/>
      <c r="FT17" s="408"/>
      <c r="FV17" s="481"/>
      <c r="FW17" s="279"/>
      <c r="FX17" s="279"/>
      <c r="FY17" s="279"/>
      <c r="FZ17" s="279"/>
      <c r="GA17" s="279"/>
      <c r="GB17" s="279"/>
      <c r="GC17" s="279"/>
      <c r="GD17" s="279"/>
      <c r="GE17" s="279"/>
      <c r="HW17" s="338">
        <v>12</v>
      </c>
      <c r="HX17" s="322">
        <v>12</v>
      </c>
      <c r="HY17" s="322">
        <v>11</v>
      </c>
      <c r="HZ17" s="322">
        <v>10</v>
      </c>
      <c r="IA17" s="347">
        <v>98088319.200000003</v>
      </c>
      <c r="IB17" s="347">
        <v>88166104</v>
      </c>
      <c r="IC17" s="342">
        <f t="shared" si="5"/>
        <v>0.90909090909090906</v>
      </c>
      <c r="ID17" s="342">
        <f t="shared" si="6"/>
        <v>0.89884406949854223</v>
      </c>
      <c r="IE17" s="344">
        <v>0</v>
      </c>
      <c r="IF17" s="344">
        <v>1</v>
      </c>
      <c r="IG17" s="344">
        <v>0</v>
      </c>
      <c r="IK17" s="364">
        <v>12</v>
      </c>
      <c r="IL17" s="365">
        <v>12</v>
      </c>
      <c r="IM17" s="341">
        <f t="shared" si="7"/>
        <v>0.89884406949854223</v>
      </c>
      <c r="IN17" s="20">
        <v>274.95</v>
      </c>
      <c r="IO17" s="343">
        <f t="shared" si="29"/>
        <v>247.13717690862418</v>
      </c>
      <c r="IP17" s="20">
        <v>10676251.800000001</v>
      </c>
      <c r="IQ17" s="343">
        <v>9591387</v>
      </c>
      <c r="IR17" s="20">
        <v>4428895.8442199994</v>
      </c>
      <c r="IS17" s="343">
        <v>3936204</v>
      </c>
      <c r="IT17" s="20">
        <v>247500</v>
      </c>
      <c r="IU17" s="20">
        <v>225000</v>
      </c>
      <c r="IV17" s="20">
        <f t="shared" si="30"/>
        <v>4676670.7942199996</v>
      </c>
      <c r="IW17" s="20">
        <f t="shared" si="30"/>
        <v>4161451.1371769086</v>
      </c>
      <c r="IX17" s="314"/>
      <c r="IY17" s="315"/>
      <c r="IZ17" s="314"/>
      <c r="JA17" s="366">
        <v>12</v>
      </c>
      <c r="JB17" s="365">
        <v>12</v>
      </c>
      <c r="JC17" s="367">
        <f t="shared" si="8"/>
        <v>0.90909090909090906</v>
      </c>
      <c r="JD17" s="368">
        <f t="shared" si="8"/>
        <v>0.89884406949854223</v>
      </c>
      <c r="JE17" s="20">
        <v>1477321.4620474414</v>
      </c>
      <c r="JF17" s="343">
        <f t="shared" si="70"/>
        <v>1327881.6349042584</v>
      </c>
      <c r="JG17" s="20">
        <v>173561.70699999997</v>
      </c>
      <c r="JH17" s="343">
        <f t="shared" si="31"/>
        <v>156004.91102899361</v>
      </c>
      <c r="JI17" s="20">
        <v>902813.73595255893</v>
      </c>
      <c r="JJ17" s="343">
        <f t="shared" si="32"/>
        <v>820739.75995687174</v>
      </c>
      <c r="JK17" s="20">
        <v>919805.23799024592</v>
      </c>
      <c r="JL17" s="343">
        <v>796353.12678071694</v>
      </c>
      <c r="JM17" s="20">
        <v>125924.8045</v>
      </c>
      <c r="JN17" s="343">
        <f t="shared" si="33"/>
        <v>113186.76372758835</v>
      </c>
      <c r="JO17" s="20">
        <v>84256.07699999999</v>
      </c>
      <c r="JP17" s="343">
        <f t="shared" si="34"/>
        <v>75733.075130662517</v>
      </c>
      <c r="JQ17" s="20">
        <v>165395.27000000002</v>
      </c>
      <c r="JR17" s="343">
        <f t="shared" si="35"/>
        <v>148664.55756261016</v>
      </c>
      <c r="JS17" s="20">
        <v>525941.78747999994</v>
      </c>
      <c r="JT17" s="343">
        <f t="shared" si="36"/>
        <v>472739.65657786059</v>
      </c>
      <c r="JU17" s="20">
        <f t="shared" si="37"/>
        <v>4375020.0819702465</v>
      </c>
      <c r="JV17" s="20">
        <f t="shared" si="37"/>
        <v>3911303.4856695626</v>
      </c>
      <c r="JW17" s="369">
        <f t="shared" si="9"/>
        <v>4.4362893540918655</v>
      </c>
      <c r="KA17" s="338">
        <v>12</v>
      </c>
      <c r="KB17" s="322">
        <v>12</v>
      </c>
      <c r="KC17" s="518">
        <f t="shared" si="10"/>
        <v>10</v>
      </c>
      <c r="KD17" s="518">
        <f t="shared" si="11"/>
        <v>10</v>
      </c>
      <c r="KE17" s="370">
        <f t="shared" si="12"/>
        <v>88166104</v>
      </c>
      <c r="KF17" s="370">
        <f t="shared" si="13"/>
        <v>91987332.354727224</v>
      </c>
      <c r="KG17" s="371">
        <f t="shared" si="38"/>
        <v>1</v>
      </c>
      <c r="KH17" s="371">
        <f t="shared" si="39"/>
        <v>1.0433412409232377</v>
      </c>
      <c r="KI17" s="371">
        <f t="shared" si="40"/>
        <v>1.0510399772173098</v>
      </c>
      <c r="KJ17" s="322" t="s">
        <v>440</v>
      </c>
      <c r="KK17" s="322"/>
      <c r="KL17" s="323"/>
      <c r="KM17" s="322"/>
      <c r="KN17" s="338">
        <v>12</v>
      </c>
      <c r="KO17" s="322">
        <v>12</v>
      </c>
      <c r="KP17" s="437" t="str">
        <f t="shared" si="14"/>
        <v>Q4</v>
      </c>
      <c r="KQ17" s="373">
        <f t="shared" si="15"/>
        <v>1.0510399772173098</v>
      </c>
      <c r="KR17" s="358">
        <f t="shared" si="41"/>
        <v>247.13717690862418</v>
      </c>
      <c r="KS17" s="358">
        <f t="shared" si="42"/>
        <v>259.7510527875906</v>
      </c>
      <c r="KT17" s="358">
        <f t="shared" si="16"/>
        <v>9591387</v>
      </c>
      <c r="KU17" s="358">
        <f t="shared" si="43"/>
        <v>10010946.780287372</v>
      </c>
      <c r="KV17" s="358">
        <f t="shared" si="17"/>
        <v>3936204</v>
      </c>
      <c r="KW17" s="358">
        <f t="shared" si="18"/>
        <v>5495486.5386656867</v>
      </c>
      <c r="KX17" s="358">
        <f t="shared" si="44"/>
        <v>225000</v>
      </c>
      <c r="KY17" s="358">
        <f t="shared" si="45"/>
        <v>198616.36907749929</v>
      </c>
      <c r="KZ17" s="358">
        <f t="shared" si="46"/>
        <v>4161451.1371769086</v>
      </c>
      <c r="LA17" s="358">
        <f t="shared" si="46"/>
        <v>5694362.6587959733</v>
      </c>
      <c r="LB17" s="326"/>
      <c r="LC17" s="323"/>
      <c r="LD17" s="322"/>
      <c r="LE17" s="374">
        <f t="shared" si="71"/>
        <v>12</v>
      </c>
      <c r="LF17" s="375">
        <v>11</v>
      </c>
      <c r="LG17" s="376">
        <f t="shared" si="72"/>
        <v>1</v>
      </c>
      <c r="LH17" s="376">
        <f t="shared" si="72"/>
        <v>1.0433412409232377</v>
      </c>
      <c r="LI17" s="377">
        <v>106.45762205358784</v>
      </c>
      <c r="LJ17" s="290">
        <f t="shared" si="73"/>
        <v>1189901.3703299998</v>
      </c>
      <c r="LK17" s="377">
        <v>106.45762205358784</v>
      </c>
      <c r="LL17" s="290">
        <f t="shared" si="47"/>
        <v>82987.907347780972</v>
      </c>
      <c r="LM17" s="377">
        <v>106.45762205358784</v>
      </c>
      <c r="LN17" s="290">
        <f t="shared" si="48"/>
        <v>563796.17958927469</v>
      </c>
      <c r="LO17" s="377">
        <v>118.614283549666</v>
      </c>
      <c r="LP17" s="290">
        <f t="shared" si="74"/>
        <v>1126062.0941259102</v>
      </c>
      <c r="LQ17" s="377">
        <v>119.48337591187899</v>
      </c>
      <c r="LR17" s="290">
        <f t="shared" si="49"/>
        <v>62433.487427564032</v>
      </c>
      <c r="LS17" s="377">
        <v>157.07111615098</v>
      </c>
      <c r="LT17" s="290">
        <f t="shared" si="50"/>
        <v>40400.809030246062</v>
      </c>
      <c r="LU17" s="377">
        <v>112.15574935818501</v>
      </c>
      <c r="LV17" s="290">
        <f t="shared" si="51"/>
        <v>104313.54869206755</v>
      </c>
      <c r="LW17" s="377">
        <v>116.939890710382</v>
      </c>
      <c r="LX17" s="378">
        <f t="shared" si="52"/>
        <v>343396.8157389093</v>
      </c>
      <c r="LY17" s="379">
        <f t="shared" si="53"/>
        <v>3609387.5320705916</v>
      </c>
      <c r="LZ17" s="379">
        <f t="shared" si="75"/>
        <v>3513292.2122817524</v>
      </c>
      <c r="MA17" s="103"/>
      <c r="MB17" s="335"/>
      <c r="MD17" s="338">
        <v>12</v>
      </c>
      <c r="ME17" s="380">
        <v>12</v>
      </c>
      <c r="MF17" s="20">
        <f t="shared" si="19"/>
        <v>4676670.7942199996</v>
      </c>
      <c r="MG17" s="20">
        <f t="shared" si="19"/>
        <v>4161451.1371769086</v>
      </c>
      <c r="MH17" s="343">
        <f t="shared" si="20"/>
        <v>5694362.6587959733</v>
      </c>
      <c r="MI17" s="20">
        <f t="shared" si="21"/>
        <v>4375020.0819702465</v>
      </c>
      <c r="MJ17" s="20">
        <f t="shared" si="21"/>
        <v>3911303.4856695626</v>
      </c>
      <c r="MK17" s="343">
        <f t="shared" si="54"/>
        <v>4110936.3264681213</v>
      </c>
      <c r="ML17" s="20">
        <f t="shared" si="55"/>
        <v>301650.71224975307</v>
      </c>
      <c r="MM17" s="20">
        <f t="shared" si="55"/>
        <v>250147.65150734596</v>
      </c>
      <c r="MN17" s="20">
        <f t="shared" si="55"/>
        <v>1583426.332327852</v>
      </c>
      <c r="MX17" s="283">
        <f t="shared" si="85"/>
        <v>11</v>
      </c>
      <c r="MY17" s="388" t="s">
        <v>50</v>
      </c>
      <c r="MZ17" s="17">
        <f t="shared" si="115"/>
        <v>22755368.059679482</v>
      </c>
      <c r="NA17" s="381">
        <f t="shared" si="116"/>
        <v>1.0324326717006762</v>
      </c>
      <c r="NB17" s="97"/>
      <c r="NC17" s="18">
        <f t="shared" si="117"/>
        <v>22755368.059679482</v>
      </c>
      <c r="ND17" s="381">
        <f t="shared" si="118"/>
        <v>1.0324326717006762</v>
      </c>
      <c r="NH17" s="283">
        <f t="shared" si="86"/>
        <v>11</v>
      </c>
      <c r="NI17" s="388" t="str">
        <f t="shared" si="58"/>
        <v>Building</v>
      </c>
      <c r="NJ17" s="17">
        <v>22476369.306504369</v>
      </c>
      <c r="NK17" s="17">
        <f t="shared" si="119"/>
        <v>22755368.059679482</v>
      </c>
      <c r="NL17" s="17">
        <f t="shared" si="77"/>
        <v>278998.75317511335</v>
      </c>
      <c r="NM17" s="395">
        <f t="shared" si="78"/>
        <v>1.2412981357019024E-2</v>
      </c>
    </row>
    <row r="18" spans="2:377" x14ac:dyDescent="0.3">
      <c r="B18" s="265">
        <f t="shared" si="79"/>
        <v>13</v>
      </c>
      <c r="C18" s="384"/>
      <c r="D18" s="97" t="s">
        <v>53</v>
      </c>
      <c r="E18" s="286"/>
      <c r="F18" s="18">
        <f>EI9</f>
        <v>4942367.6066999994</v>
      </c>
      <c r="G18" s="313">
        <f t="shared" si="108"/>
        <v>0.23779802971474448</v>
      </c>
      <c r="H18" s="18">
        <f>EM9</f>
        <v>4946747.1885321252</v>
      </c>
      <c r="I18" s="309">
        <f t="shared" si="109"/>
        <v>0.23743688113603295</v>
      </c>
      <c r="J18" s="290">
        <f t="shared" si="59"/>
        <v>4379.581832125783</v>
      </c>
      <c r="K18" s="18">
        <f>JR26</f>
        <v>4997847.5990450596</v>
      </c>
      <c r="L18" s="309">
        <f t="shared" si="110"/>
        <v>0.236585028544606</v>
      </c>
      <c r="M18" s="290">
        <f t="shared" si="60"/>
        <v>51100.410512934439</v>
      </c>
      <c r="N18" s="18">
        <f>LV27</f>
        <v>5526452.0486161262</v>
      </c>
      <c r="O18" s="309">
        <f t="shared" si="111"/>
        <v>0.25074038084615319</v>
      </c>
      <c r="P18" s="290">
        <f t="shared" si="61"/>
        <v>528604.44957106654</v>
      </c>
      <c r="Q18" s="18">
        <f t="shared" si="62"/>
        <v>584084.44191612676</v>
      </c>
      <c r="R18" s="310">
        <f t="shared" si="63"/>
        <v>5.4425813144600044E-2</v>
      </c>
      <c r="V18" s="249">
        <f>V16+1</f>
        <v>9</v>
      </c>
      <c r="W18" s="345" t="s">
        <v>176</v>
      </c>
      <c r="X18" s="20">
        <f>SUMPRODUCT($MN$6:$MN$25,IE6:IE25)</f>
        <v>2316193.9885798022</v>
      </c>
      <c r="Y18" s="20">
        <f>SUMPRODUCT($MN$6:$MN$25,IF6:IF25)</f>
        <v>12843121.605596734</v>
      </c>
      <c r="Z18" s="20">
        <f>SUMPRODUCT($MN$6:$MN$25,IG6:IG25)</f>
        <v>27078544.751726955</v>
      </c>
      <c r="AA18" s="20">
        <f>SUM(X18:Z18)</f>
        <v>42237860.345903493</v>
      </c>
      <c r="AB18" s="20"/>
      <c r="AF18" s="385">
        <f t="shared" si="80"/>
        <v>12</v>
      </c>
      <c r="AG18" s="282" t="s">
        <v>28</v>
      </c>
      <c r="AH18" s="97"/>
      <c r="AI18" s="97"/>
      <c r="AJ18" s="97"/>
      <c r="AL18" s="464"/>
      <c r="AN18" s="483">
        <f t="shared" si="121"/>
        <v>13</v>
      </c>
      <c r="AO18" s="484"/>
      <c r="AP18" s="485"/>
      <c r="AQ18" s="485" t="s">
        <v>54</v>
      </c>
      <c r="AR18" s="486"/>
      <c r="AS18" s="487">
        <v>5928822.8260000004</v>
      </c>
      <c r="AT18" s="488">
        <v>0.57815077141840288</v>
      </c>
      <c r="AU18" s="489"/>
      <c r="AV18" s="487">
        <v>3792013.7597000003</v>
      </c>
      <c r="AW18" s="488">
        <v>0.35137968141626907</v>
      </c>
      <c r="AX18" s="490">
        <f t="shared" si="96"/>
        <v>-0.39223521132002692</v>
      </c>
      <c r="AY18" s="489"/>
      <c r="AZ18" s="487">
        <v>5238845.7033359464</v>
      </c>
      <c r="BA18" s="488">
        <v>0.40606900530629209</v>
      </c>
      <c r="BB18" s="490">
        <f t="shared" si="97"/>
        <v>0.15564167987628807</v>
      </c>
      <c r="BC18" s="489"/>
      <c r="BD18" s="487">
        <v>5407089.8699504221</v>
      </c>
      <c r="BE18" s="488">
        <v>0.36767645852816944</v>
      </c>
      <c r="BF18" s="490">
        <f t="shared" si="98"/>
        <v>-9.4546853555502741E-2</v>
      </c>
      <c r="BG18" s="489"/>
      <c r="BH18" s="487">
        <v>7543565.8774000006</v>
      </c>
      <c r="BI18" s="488">
        <v>0.49640433719995791</v>
      </c>
      <c r="BJ18" s="490">
        <f t="shared" si="99"/>
        <v>0.3501118325255137</v>
      </c>
      <c r="BK18" s="489"/>
      <c r="BL18" s="487">
        <v>8178976.4044999983</v>
      </c>
      <c r="BM18" s="488">
        <v>0.48622711326046231</v>
      </c>
      <c r="BN18" s="490">
        <f t="shared" si="100"/>
        <v>-2.050188359936933E-2</v>
      </c>
      <c r="BO18" s="489"/>
      <c r="BP18" s="487">
        <v>9693134.9169999994</v>
      </c>
      <c r="BQ18" s="488">
        <v>0.52259989598697731</v>
      </c>
      <c r="BR18" s="490">
        <f t="shared" si="101"/>
        <v>7.4806158962654967E-2</v>
      </c>
      <c r="BS18" s="489"/>
      <c r="BT18" s="485">
        <v>9228973</v>
      </c>
      <c r="BU18" s="485">
        <v>0.47</v>
      </c>
      <c r="BV18" s="485">
        <f t="shared" si="102"/>
        <v>-0.10065041419045384</v>
      </c>
      <c r="BW18" s="26">
        <v>10423908.153099999</v>
      </c>
      <c r="BX18" s="27">
        <v>0.53850471411588496</v>
      </c>
      <c r="BY18" s="27">
        <f t="shared" si="65"/>
        <v>0.14575471088486158</v>
      </c>
      <c r="BZ18" s="27">
        <v>10530651.726950001</v>
      </c>
      <c r="CA18" s="27">
        <v>0.51623445214666785</v>
      </c>
      <c r="CB18" s="27">
        <f t="shared" si="66"/>
        <v>-4.1355741900570675E-2</v>
      </c>
      <c r="CC18" s="26">
        <f t="shared" ref="CC18:CD20" si="122">F20</f>
        <v>10262021.9365</v>
      </c>
      <c r="CD18" s="27">
        <f t="shared" si="122"/>
        <v>0.49374890570281921</v>
      </c>
      <c r="CE18" s="395">
        <f t="shared" si="104"/>
        <v>-4.3556849703359712E-2</v>
      </c>
      <c r="CF18" s="491">
        <f t="shared" si="68"/>
        <v>0.73087006268721288</v>
      </c>
      <c r="CG18" s="395">
        <f t="shared" si="105"/>
        <v>3.0948366399667249E-2</v>
      </c>
      <c r="CX18" s="438"/>
      <c r="CY18" s="455"/>
      <c r="CZ18" s="105"/>
      <c r="DA18" s="518"/>
      <c r="DB18" s="105"/>
      <c r="DK18" s="518"/>
      <c r="DQ18" s="537"/>
      <c r="DR18" s="537"/>
      <c r="DS18" s="537"/>
      <c r="DT18" s="537"/>
      <c r="DU18" s="537"/>
      <c r="DV18" s="537"/>
      <c r="DW18" s="537"/>
      <c r="DX18" s="537"/>
      <c r="DY18" s="537"/>
      <c r="DZ18" s="537"/>
      <c r="EI18" s="347"/>
      <c r="EO18" s="408"/>
      <c r="FE18" s="408"/>
      <c r="FG18" s="283">
        <f t="shared" si="84"/>
        <v>13</v>
      </c>
      <c r="FH18" s="406"/>
      <c r="FI18" s="407" t="s">
        <v>236</v>
      </c>
      <c r="FJ18" s="17">
        <v>43908.417999999998</v>
      </c>
      <c r="FK18" s="17">
        <v>51418.920000000006</v>
      </c>
      <c r="FL18" s="17">
        <v>50658.33</v>
      </c>
      <c r="FM18" s="290">
        <f t="shared" si="28"/>
        <v>145985.66800000001</v>
      </c>
      <c r="FN18" s="17">
        <v>44220.630121212111</v>
      </c>
      <c r="FO18" s="17">
        <v>51511.12</v>
      </c>
      <c r="FP18" s="17">
        <v>50658.330000000009</v>
      </c>
      <c r="FQ18" s="17">
        <v>146390.08012121212</v>
      </c>
      <c r="FR18" s="17">
        <v>146390.08012121212</v>
      </c>
      <c r="FS18" s="103"/>
      <c r="FT18" s="408"/>
      <c r="GB18" s="344"/>
      <c r="GC18" s="344"/>
      <c r="GD18" s="344"/>
      <c r="GE18" s="344"/>
      <c r="GK18" s="355"/>
      <c r="GL18" s="355"/>
      <c r="GM18" s="355"/>
      <c r="GN18" s="355"/>
      <c r="GO18" s="355"/>
      <c r="GP18" s="355"/>
      <c r="GQ18" s="355"/>
      <c r="GR18" s="355"/>
      <c r="HW18" s="283">
        <v>13</v>
      </c>
      <c r="HX18" s="306">
        <v>13</v>
      </c>
      <c r="HY18" s="306">
        <v>10</v>
      </c>
      <c r="HZ18" s="306">
        <v>11</v>
      </c>
      <c r="IA18" s="307">
        <v>102121804</v>
      </c>
      <c r="IB18" s="307">
        <v>110978821</v>
      </c>
      <c r="IC18" s="309">
        <f t="shared" si="5"/>
        <v>1.1000000000000001</v>
      </c>
      <c r="ID18" s="309">
        <f t="shared" si="6"/>
        <v>1.0867299308578606</v>
      </c>
      <c r="IE18" s="310">
        <v>0</v>
      </c>
      <c r="IF18" s="310">
        <v>1</v>
      </c>
      <c r="IG18" s="310">
        <v>0</v>
      </c>
      <c r="IK18" s="410">
        <v>13</v>
      </c>
      <c r="IL18" s="317">
        <v>13</v>
      </c>
      <c r="IM18" s="313">
        <f t="shared" si="7"/>
        <v>1.0867299308578606</v>
      </c>
      <c r="IN18" s="17">
        <v>38</v>
      </c>
      <c r="IO18" s="290">
        <f t="shared" si="29"/>
        <v>41.295737372598701</v>
      </c>
      <c r="IP18" s="17">
        <v>11270819</v>
      </c>
      <c r="IQ18" s="290">
        <v>12226499</v>
      </c>
      <c r="IR18" s="17">
        <v>4764103.0435000006</v>
      </c>
      <c r="IS18" s="290">
        <v>5108269</v>
      </c>
      <c r="IT18" s="17">
        <v>225000</v>
      </c>
      <c r="IU18" s="17">
        <v>247500</v>
      </c>
      <c r="IV18" s="17">
        <f t="shared" si="30"/>
        <v>4989141.0435000006</v>
      </c>
      <c r="IW18" s="17">
        <f t="shared" si="30"/>
        <v>5355810.2957373727</v>
      </c>
      <c r="IX18" s="314"/>
      <c r="IY18" s="315"/>
      <c r="IZ18" s="314"/>
      <c r="JA18" s="316">
        <v>13</v>
      </c>
      <c r="JB18" s="317">
        <v>13</v>
      </c>
      <c r="JC18" s="318">
        <f t="shared" si="8"/>
        <v>1.1000000000000001</v>
      </c>
      <c r="JD18" s="319">
        <f t="shared" si="8"/>
        <v>1.0867299308578606</v>
      </c>
      <c r="JE18" s="17">
        <v>2071386.4181252802</v>
      </c>
      <c r="JF18" s="290">
        <f t="shared" si="70"/>
        <v>2251037.6189491972</v>
      </c>
      <c r="JG18" s="17">
        <v>70310.223499999993</v>
      </c>
      <c r="JH18" s="290">
        <f t="shared" si="31"/>
        <v>76408.224322755719</v>
      </c>
      <c r="JI18" s="17">
        <v>1129294.8683747198</v>
      </c>
      <c r="JJ18" s="290">
        <f t="shared" si="32"/>
        <v>1242224.3552121918</v>
      </c>
      <c r="JK18" s="17">
        <v>1201729.8593524098</v>
      </c>
      <c r="JL18" s="290">
        <v>1325181.9705619391</v>
      </c>
      <c r="JM18" s="17">
        <v>49177.789399999994</v>
      </c>
      <c r="JN18" s="290">
        <f t="shared" si="33"/>
        <v>53442.975674404428</v>
      </c>
      <c r="JO18" s="17">
        <v>78958.960399999982</v>
      </c>
      <c r="JP18" s="290">
        <f t="shared" si="34"/>
        <v>85807.065576100533</v>
      </c>
      <c r="JQ18" s="17">
        <v>137795.64800000002</v>
      </c>
      <c r="JR18" s="290">
        <f t="shared" si="35"/>
        <v>149746.65502355411</v>
      </c>
      <c r="JS18" s="17">
        <v>297705.73260000005</v>
      </c>
      <c r="JT18" s="290">
        <f t="shared" si="36"/>
        <v>323525.73020438681</v>
      </c>
      <c r="JU18" s="17">
        <f t="shared" si="37"/>
        <v>5036359.4997524098</v>
      </c>
      <c r="JV18" s="17">
        <f t="shared" si="37"/>
        <v>5507374.5955245309</v>
      </c>
      <c r="JW18" s="320">
        <f t="shared" si="9"/>
        <v>4.9625455973482824</v>
      </c>
      <c r="KA18" s="283">
        <v>13</v>
      </c>
      <c r="KB18" s="306">
        <v>13</v>
      </c>
      <c r="KC18" s="97">
        <f t="shared" si="10"/>
        <v>11</v>
      </c>
      <c r="KD18" s="390">
        <f t="shared" si="11"/>
        <v>11</v>
      </c>
      <c r="KE18" s="289">
        <f t="shared" si="12"/>
        <v>110978821</v>
      </c>
      <c r="KF18" s="289">
        <f t="shared" si="13"/>
        <v>115788780.81833787</v>
      </c>
      <c r="KG18" s="321">
        <f t="shared" si="38"/>
        <v>1</v>
      </c>
      <c r="KH18" s="321">
        <f t="shared" si="39"/>
        <v>1.0433412409232377</v>
      </c>
      <c r="KI18" s="321">
        <f t="shared" si="40"/>
        <v>0.9586600128379138</v>
      </c>
      <c r="KJ18" s="306" t="s">
        <v>256</v>
      </c>
      <c r="KK18" s="322"/>
      <c r="KL18" s="323"/>
      <c r="KM18" s="322"/>
      <c r="KN18" s="283">
        <v>13</v>
      </c>
      <c r="KO18" s="306">
        <v>13</v>
      </c>
      <c r="KP18" s="324" t="str">
        <f t="shared" si="14"/>
        <v>Q3</v>
      </c>
      <c r="KQ18" s="325">
        <f t="shared" si="15"/>
        <v>0.9586600128379138</v>
      </c>
      <c r="KR18" s="17">
        <f t="shared" si="41"/>
        <v>41.295737372598701</v>
      </c>
      <c r="KS18" s="17">
        <f t="shared" si="42"/>
        <v>39.588572119766589</v>
      </c>
      <c r="KT18" s="17">
        <f t="shared" si="16"/>
        <v>12226499</v>
      </c>
      <c r="KU18" s="17">
        <f t="shared" si="43"/>
        <v>12601249.463966772</v>
      </c>
      <c r="KV18" s="17">
        <f t="shared" si="17"/>
        <v>5108269</v>
      </c>
      <c r="KW18" s="17">
        <f t="shared" si="18"/>
        <v>6917427.3242525142</v>
      </c>
      <c r="KX18" s="17">
        <f t="shared" si="44"/>
        <v>247500</v>
      </c>
      <c r="KY18" s="17">
        <f t="shared" si="45"/>
        <v>250007.76343164407</v>
      </c>
      <c r="KZ18" s="17">
        <f t="shared" si="46"/>
        <v>5355810.2957373727</v>
      </c>
      <c r="LA18" s="17">
        <f t="shared" si="46"/>
        <v>7167474.6762562776</v>
      </c>
      <c r="LB18" s="326"/>
      <c r="LC18" s="323"/>
      <c r="LD18" s="322"/>
      <c r="LE18" s="364">
        <f t="shared" si="71"/>
        <v>13</v>
      </c>
      <c r="LF18" s="365">
        <v>12</v>
      </c>
      <c r="LG18" s="411">
        <f t="shared" si="72"/>
        <v>1</v>
      </c>
      <c r="LH18" s="411">
        <f t="shared" si="72"/>
        <v>1.0433412409232377</v>
      </c>
      <c r="LI18" s="412">
        <v>92.086954396969617</v>
      </c>
      <c r="LJ18" s="343">
        <f t="shared" si="73"/>
        <v>1412663.872173531</v>
      </c>
      <c r="LK18" s="412">
        <v>92.086954396969617</v>
      </c>
      <c r="LL18" s="343">
        <f t="shared" si="47"/>
        <v>165965.47154460425</v>
      </c>
      <c r="LM18" s="412">
        <v>92.086954396969617</v>
      </c>
      <c r="LN18" s="343">
        <f t="shared" si="48"/>
        <v>836871.1040764068</v>
      </c>
      <c r="LO18" s="412">
        <v>119.50379714140099</v>
      </c>
      <c r="LP18" s="343">
        <f t="shared" si="74"/>
        <v>826803.49761689059</v>
      </c>
      <c r="LQ18" s="412">
        <v>120.433043671646</v>
      </c>
      <c r="LR18" s="343">
        <f t="shared" si="49"/>
        <v>122490.71775048622</v>
      </c>
      <c r="LS18" s="412">
        <v>146.40099357416699</v>
      </c>
      <c r="LT18" s="343">
        <f t="shared" si="50"/>
        <v>77079.714328844784</v>
      </c>
      <c r="LU18" s="412">
        <v>116.183248398364</v>
      </c>
      <c r="LV18" s="343">
        <f t="shared" si="51"/>
        <v>157409.88923782212</v>
      </c>
      <c r="LW18" s="412">
        <v>117.5956284153</v>
      </c>
      <c r="LX18" s="343">
        <f t="shared" si="52"/>
        <v>511652.05973953602</v>
      </c>
      <c r="LY18" s="20">
        <f t="shared" si="53"/>
        <v>3911303.4856695626</v>
      </c>
      <c r="LZ18" s="20">
        <f t="shared" si="75"/>
        <v>4110936.3264681213</v>
      </c>
      <c r="MA18" s="103"/>
      <c r="MB18" s="335"/>
      <c r="MD18" s="283">
        <v>13</v>
      </c>
      <c r="ME18" s="336">
        <v>13</v>
      </c>
      <c r="MF18" s="17">
        <f t="shared" si="19"/>
        <v>4989141.0435000006</v>
      </c>
      <c r="MG18" s="17">
        <f t="shared" si="19"/>
        <v>5355810.2957373727</v>
      </c>
      <c r="MH18" s="290">
        <f t="shared" si="20"/>
        <v>7167474.6762562776</v>
      </c>
      <c r="MI18" s="17">
        <f t="shared" si="21"/>
        <v>5036359.4997524098</v>
      </c>
      <c r="MJ18" s="17">
        <f t="shared" si="21"/>
        <v>5507374.5955245309</v>
      </c>
      <c r="MK18" s="290">
        <f t="shared" si="54"/>
        <v>5279699.8004487474</v>
      </c>
      <c r="ML18" s="17">
        <f t="shared" si="55"/>
        <v>-47218.456252409145</v>
      </c>
      <c r="MM18" s="17">
        <f t="shared" si="55"/>
        <v>-151564.29978715815</v>
      </c>
      <c r="MN18" s="17">
        <f t="shared" si="55"/>
        <v>1887774.8758075302</v>
      </c>
      <c r="MX18" s="338">
        <f t="shared" si="85"/>
        <v>12</v>
      </c>
      <c r="MY18" s="346" t="s">
        <v>53</v>
      </c>
      <c r="MZ18" s="20">
        <f t="shared" si="115"/>
        <v>5526452.0486161262</v>
      </c>
      <c r="NA18" s="414">
        <f t="shared" si="116"/>
        <v>0.25074038084615319</v>
      </c>
      <c r="NC18" s="15">
        <f t="shared" si="117"/>
        <v>5526452.0486161262</v>
      </c>
      <c r="ND18" s="414">
        <f t="shared" si="118"/>
        <v>0.25074038084615319</v>
      </c>
      <c r="NH18" s="338">
        <f t="shared" si="86"/>
        <v>12</v>
      </c>
      <c r="NI18" s="346" t="str">
        <f t="shared" si="58"/>
        <v>Equipment</v>
      </c>
      <c r="NJ18" s="20">
        <v>5407933.3588502686</v>
      </c>
      <c r="NK18" s="20">
        <f t="shared" si="119"/>
        <v>5526452.0486161262</v>
      </c>
      <c r="NL18" s="20">
        <f t="shared" si="77"/>
        <v>118518.68976585753</v>
      </c>
      <c r="NM18" s="351">
        <f t="shared" si="78"/>
        <v>2.1915708256999438E-2</v>
      </c>
    </row>
    <row r="19" spans="2:377" x14ac:dyDescent="0.3">
      <c r="B19" s="226">
        <f t="shared" si="79"/>
        <v>14</v>
      </c>
      <c r="C19" s="339"/>
      <c r="D19" s="518" t="s">
        <v>51</v>
      </c>
      <c r="E19" s="340"/>
      <c r="F19" s="15">
        <f>EV9</f>
        <v>3516733.7788</v>
      </c>
      <c r="G19" s="341">
        <f t="shared" si="108"/>
        <v>0.16920480833846835</v>
      </c>
      <c r="H19" s="15">
        <f>FC9</f>
        <v>3375997.0894500008</v>
      </c>
      <c r="I19" s="342">
        <f t="shared" si="109"/>
        <v>0.1620430939955094</v>
      </c>
      <c r="J19" s="343">
        <f t="shared" si="59"/>
        <v>-140736.68934999919</v>
      </c>
      <c r="K19" s="15">
        <f>JN26+JP26</f>
        <v>3467071.2212437498</v>
      </c>
      <c r="L19" s="342">
        <f t="shared" si="110"/>
        <v>0.1641220800732022</v>
      </c>
      <c r="M19" s="343">
        <f t="shared" si="60"/>
        <v>91074.131793749053</v>
      </c>
      <c r="N19" s="15">
        <f>LR27+LT27</f>
        <v>3596621.1910385769</v>
      </c>
      <c r="O19" s="342">
        <f t="shared" si="111"/>
        <v>0.16318212105471561</v>
      </c>
      <c r="P19" s="343">
        <f t="shared" si="61"/>
        <v>129549.96979482705</v>
      </c>
      <c r="Q19" s="15">
        <f t="shared" si="62"/>
        <v>79887.412238576915</v>
      </c>
      <c r="R19" s="344">
        <f t="shared" si="63"/>
        <v>-3.5594066994274032E-2</v>
      </c>
      <c r="V19" s="385">
        <f t="shared" si="64"/>
        <v>10</v>
      </c>
      <c r="W19" s="386" t="s">
        <v>185</v>
      </c>
      <c r="X19" s="309">
        <f>X18/N$24*100</f>
        <v>0.1050879221788414</v>
      </c>
      <c r="Y19" s="309">
        <f>Y18/N$24*100</f>
        <v>0.58270463116515647</v>
      </c>
      <c r="Z19" s="309">
        <f>Z18/N$24*100</f>
        <v>1.2285793062309873</v>
      </c>
      <c r="AA19" s="309">
        <f>AA18/N$24*100</f>
        <v>1.9163718595749852</v>
      </c>
      <c r="AB19" s="342"/>
      <c r="AC19" s="348"/>
      <c r="AF19" s="249">
        <f t="shared" si="80"/>
        <v>13</v>
      </c>
      <c r="AG19" s="346" t="s">
        <v>78</v>
      </c>
      <c r="AH19" s="105">
        <f>AH15*LH27</f>
        <v>1879232.5371441927</v>
      </c>
      <c r="AI19" s="105">
        <f>AI15*LH27</f>
        <v>118000.44592815882</v>
      </c>
      <c r="AJ19" s="105">
        <f>AJ15*LG27</f>
        <v>547397.97344627196</v>
      </c>
      <c r="AL19" s="464"/>
      <c r="AN19" s="338">
        <f t="shared" si="121"/>
        <v>14</v>
      </c>
      <c r="AO19" s="492"/>
      <c r="AP19" s="493" t="s">
        <v>60</v>
      </c>
      <c r="AQ19" s="475"/>
      <c r="AR19" s="340"/>
      <c r="AS19" s="348">
        <v>32802383.3928</v>
      </c>
      <c r="AT19" s="349">
        <v>3.1987333437832652</v>
      </c>
      <c r="AU19" s="350"/>
      <c r="AV19" s="348">
        <v>36250313.730549999</v>
      </c>
      <c r="AW19" s="349">
        <v>3.359065788539803</v>
      </c>
      <c r="AX19" s="351">
        <f t="shared" si="96"/>
        <v>5.012372946564736E-2</v>
      </c>
      <c r="AY19" s="350"/>
      <c r="AZ19" s="348">
        <v>43223045.707989462</v>
      </c>
      <c r="BA19" s="349">
        <v>3.3502683932407789</v>
      </c>
      <c r="BB19" s="351">
        <f t="shared" si="97"/>
        <v>-2.6190005950578188E-3</v>
      </c>
      <c r="BC19" s="350"/>
      <c r="BD19" s="348">
        <v>49380961.369565383</v>
      </c>
      <c r="BE19" s="349">
        <v>3.3578537497555252</v>
      </c>
      <c r="BF19" s="351">
        <f t="shared" si="98"/>
        <v>2.2641041326867395E-3</v>
      </c>
      <c r="BG19" s="350"/>
      <c r="BH19" s="348">
        <v>57308507.547660008</v>
      </c>
      <c r="BI19" s="349">
        <v>3.7711862224659241</v>
      </c>
      <c r="BJ19" s="351">
        <f t="shared" si="99"/>
        <v>0.12309424516791179</v>
      </c>
      <c r="BK19" s="350"/>
      <c r="BL19" s="348">
        <v>61753474.575707734</v>
      </c>
      <c r="BM19" s="349">
        <v>3.6711456534132534</v>
      </c>
      <c r="BN19" s="351">
        <f t="shared" si="100"/>
        <v>-2.6527613103989212E-2</v>
      </c>
      <c r="BO19" s="350"/>
      <c r="BP19" s="348">
        <v>74174917.572400004</v>
      </c>
      <c r="BQ19" s="349">
        <v>3.9990987993156044</v>
      </c>
      <c r="BR19" s="351">
        <f t="shared" si="101"/>
        <v>8.9332643502563425E-2</v>
      </c>
      <c r="BS19" s="350"/>
      <c r="BT19" s="518">
        <v>83233170</v>
      </c>
      <c r="BU19" s="518">
        <v>4.24</v>
      </c>
      <c r="BV19" s="518">
        <f t="shared" si="102"/>
        <v>6.0238871999267252E-2</v>
      </c>
      <c r="BW19" s="15">
        <v>91278660.188299984</v>
      </c>
      <c r="BX19" s="16">
        <v>4.7155047883804926</v>
      </c>
      <c r="BY19" s="16">
        <f t="shared" si="65"/>
        <v>0.11214735575011603</v>
      </c>
      <c r="BZ19" s="16">
        <v>96836161.677461118</v>
      </c>
      <c r="CA19" s="16">
        <v>4.7471100714133083</v>
      </c>
      <c r="CB19" s="16">
        <f t="shared" si="66"/>
        <v>6.7024177582630795E-3</v>
      </c>
      <c r="CC19" s="15">
        <f t="shared" si="122"/>
        <v>99050498.270499989</v>
      </c>
      <c r="CD19" s="16">
        <f t="shared" si="122"/>
        <v>4.7657348067469085</v>
      </c>
      <c r="CE19" s="494">
        <f t="shared" si="104"/>
        <v>3.923383922727286E-3</v>
      </c>
      <c r="CF19" s="353">
        <f t="shared" si="68"/>
        <v>2.0196128459446396</v>
      </c>
      <c r="CG19" s="494">
        <f t="shared" si="105"/>
        <v>6.3319942515177807E-2</v>
      </c>
      <c r="CX19" s="438"/>
      <c r="CY19" s="455"/>
      <c r="CZ19" s="105"/>
      <c r="DA19" s="518"/>
      <c r="DB19" s="105"/>
      <c r="DK19" s="518"/>
      <c r="EO19" s="408"/>
      <c r="FE19" s="408"/>
      <c r="FG19" s="338">
        <f t="shared" si="84"/>
        <v>14</v>
      </c>
      <c r="FH19" s="360"/>
      <c r="FI19" s="361" t="s">
        <v>237</v>
      </c>
      <c r="FJ19" s="20">
        <v>61149.932899999993</v>
      </c>
      <c r="FK19" s="20">
        <v>92721.46</v>
      </c>
      <c r="FL19" s="20">
        <v>139427.68999999997</v>
      </c>
      <c r="FM19" s="343">
        <f t="shared" si="28"/>
        <v>293299.08289999998</v>
      </c>
      <c r="FN19" s="20">
        <v>64235.94502121213</v>
      </c>
      <c r="FO19" s="20">
        <v>92721.46</v>
      </c>
      <c r="FP19" s="20">
        <v>139427.69</v>
      </c>
      <c r="FQ19" s="20">
        <v>296385.09502121212</v>
      </c>
      <c r="FR19" s="20">
        <v>296385.09502121212</v>
      </c>
      <c r="FS19" s="103"/>
      <c r="FT19" s="408"/>
      <c r="HW19" s="338">
        <v>14</v>
      </c>
      <c r="HX19" s="322">
        <v>14</v>
      </c>
      <c r="HY19" s="322">
        <v>10</v>
      </c>
      <c r="HZ19" s="322">
        <v>11</v>
      </c>
      <c r="IA19" s="347">
        <v>127639512</v>
      </c>
      <c r="IB19" s="347">
        <v>140878049</v>
      </c>
      <c r="IC19" s="342">
        <f t="shared" si="5"/>
        <v>1.1000000000000001</v>
      </c>
      <c r="ID19" s="342">
        <f t="shared" si="6"/>
        <v>1.1037181730998784</v>
      </c>
      <c r="IE19" s="344">
        <v>0</v>
      </c>
      <c r="IF19" s="344">
        <v>0.81818181818181823</v>
      </c>
      <c r="IG19" s="344">
        <v>0.18181818181818182</v>
      </c>
      <c r="IK19" s="364">
        <v>14</v>
      </c>
      <c r="IL19" s="365">
        <v>14</v>
      </c>
      <c r="IM19" s="341">
        <f t="shared" si="7"/>
        <v>1.1037181730998784</v>
      </c>
      <c r="IN19" s="20">
        <v>5921.73</v>
      </c>
      <c r="IO19" s="343">
        <f t="shared" si="29"/>
        <v>6535.9210171907425</v>
      </c>
      <c r="IP19" s="20">
        <v>14076353</v>
      </c>
      <c r="IQ19" s="343">
        <v>15546310</v>
      </c>
      <c r="IR19" s="20">
        <v>6009582.7253</v>
      </c>
      <c r="IS19" s="343">
        <v>6612666</v>
      </c>
      <c r="IT19" s="20">
        <v>225000</v>
      </c>
      <c r="IU19" s="20">
        <v>247500</v>
      </c>
      <c r="IV19" s="20">
        <f t="shared" si="30"/>
        <v>6240504.4553000005</v>
      </c>
      <c r="IW19" s="20">
        <f t="shared" si="30"/>
        <v>6866701.9210171904</v>
      </c>
      <c r="IX19" s="314"/>
      <c r="IY19" s="315"/>
      <c r="IZ19" s="314"/>
      <c r="JA19" s="366">
        <v>14</v>
      </c>
      <c r="JB19" s="365">
        <v>14</v>
      </c>
      <c r="JC19" s="367">
        <f t="shared" si="8"/>
        <v>1.1000000000000001</v>
      </c>
      <c r="JD19" s="368">
        <f t="shared" si="8"/>
        <v>1.1037181730998784</v>
      </c>
      <c r="JE19" s="20">
        <v>2955752.728087069</v>
      </c>
      <c r="JF19" s="343">
        <f t="shared" si="70"/>
        <v>3262318.0011792416</v>
      </c>
      <c r="JG19" s="20">
        <v>72608.53</v>
      </c>
      <c r="JH19" s="343">
        <f t="shared" si="31"/>
        <v>80139.354083067708</v>
      </c>
      <c r="JI19" s="20">
        <v>1045787.5419129311</v>
      </c>
      <c r="JJ19" s="343">
        <f t="shared" si="32"/>
        <v>1150366.2961042244</v>
      </c>
      <c r="JK19" s="20">
        <v>1388384.8153083951</v>
      </c>
      <c r="JL19" s="343">
        <v>1553584.2256099153</v>
      </c>
      <c r="JM19" s="20">
        <v>143039.10675000004</v>
      </c>
      <c r="JN19" s="343">
        <f t="shared" si="33"/>
        <v>157874.86158394851</v>
      </c>
      <c r="JO19" s="20">
        <v>71991.232250000015</v>
      </c>
      <c r="JP19" s="343">
        <f t="shared" si="34"/>
        <v>79458.031338179062</v>
      </c>
      <c r="JQ19" s="20">
        <v>380591.60000000003</v>
      </c>
      <c r="JR19" s="343">
        <f t="shared" si="35"/>
        <v>420065.8654491597</v>
      </c>
      <c r="JS19" s="20">
        <v>583286.09279999998</v>
      </c>
      <c r="JT19" s="343">
        <f t="shared" si="36"/>
        <v>643783.46073978208</v>
      </c>
      <c r="JU19" s="20">
        <f t="shared" si="37"/>
        <v>6641441.6471083947</v>
      </c>
      <c r="JV19" s="20">
        <f t="shared" si="37"/>
        <v>7347590.0960875181</v>
      </c>
      <c r="JW19" s="369">
        <f t="shared" si="9"/>
        <v>5.2155677539852352</v>
      </c>
      <c r="KA19" s="338">
        <v>14</v>
      </c>
      <c r="KB19" s="322">
        <v>14</v>
      </c>
      <c r="KC19" s="518">
        <f t="shared" si="10"/>
        <v>11</v>
      </c>
      <c r="KD19" s="96">
        <f>KC19</f>
        <v>11</v>
      </c>
      <c r="KE19" s="370">
        <f t="shared" si="12"/>
        <v>140878049</v>
      </c>
      <c r="KF19" s="370">
        <f t="shared" si="13"/>
        <v>146983878.46250468</v>
      </c>
      <c r="KG19" s="371">
        <f t="shared" si="38"/>
        <v>1</v>
      </c>
      <c r="KH19" s="371">
        <f t="shared" si="39"/>
        <v>1.0433412409232377</v>
      </c>
      <c r="KI19" s="371">
        <f t="shared" si="40"/>
        <v>0.96965137098116916</v>
      </c>
      <c r="KJ19" s="322" t="s">
        <v>256</v>
      </c>
      <c r="KK19" s="322"/>
      <c r="KL19" s="323"/>
      <c r="KM19" s="322"/>
      <c r="KN19" s="338">
        <v>14</v>
      </c>
      <c r="KO19" s="322">
        <v>14</v>
      </c>
      <c r="KP19" s="437" t="str">
        <f t="shared" si="14"/>
        <v>Q3</v>
      </c>
      <c r="KQ19" s="373">
        <f t="shared" si="15"/>
        <v>0.96965137098116916</v>
      </c>
      <c r="KR19" s="358">
        <f t="shared" si="41"/>
        <v>6535.9210171907425</v>
      </c>
      <c r="KS19" s="358">
        <f t="shared" si="42"/>
        <v>6337.5647749436412</v>
      </c>
      <c r="KT19" s="358">
        <f t="shared" si="16"/>
        <v>15546310</v>
      </c>
      <c r="KU19" s="358">
        <f t="shared" si="43"/>
        <v>15996200.206937993</v>
      </c>
      <c r="KV19" s="358">
        <f t="shared" si="17"/>
        <v>6612666</v>
      </c>
      <c r="KW19" s="358">
        <f t="shared" si="18"/>
        <v>8781077.8377253115</v>
      </c>
      <c r="KX19" s="358">
        <f t="shared" si="44"/>
        <v>247500</v>
      </c>
      <c r="KY19" s="358">
        <f t="shared" si="45"/>
        <v>317363.30977154244</v>
      </c>
      <c r="KZ19" s="358">
        <f t="shared" si="46"/>
        <v>6866701.9210171904</v>
      </c>
      <c r="LA19" s="358">
        <f t="shared" si="46"/>
        <v>9104778.7122717984</v>
      </c>
      <c r="LB19" s="326"/>
      <c r="LC19" s="323"/>
      <c r="LD19" s="322"/>
      <c r="LE19" s="374">
        <f t="shared" si="71"/>
        <v>14</v>
      </c>
      <c r="LF19" s="375">
        <v>13</v>
      </c>
      <c r="LG19" s="376">
        <f t="shared" si="72"/>
        <v>1</v>
      </c>
      <c r="LH19" s="376">
        <f t="shared" si="72"/>
        <v>1.0433412409232377</v>
      </c>
      <c r="LI19" s="377">
        <v>106.45762205358784</v>
      </c>
      <c r="LJ19" s="290">
        <f t="shared" si="73"/>
        <v>2071493.5033961071</v>
      </c>
      <c r="LK19" s="377">
        <v>106.45762205358784</v>
      </c>
      <c r="LL19" s="290">
        <f t="shared" si="47"/>
        <v>70313.858355022472</v>
      </c>
      <c r="LM19" s="377">
        <v>106.45762205358784</v>
      </c>
      <c r="LN19" s="290">
        <f t="shared" si="48"/>
        <v>1095656.673019445</v>
      </c>
      <c r="LO19" s="377">
        <v>118.614283549666</v>
      </c>
      <c r="LP19" s="290">
        <f t="shared" si="74"/>
        <v>1386171.1284569153</v>
      </c>
      <c r="LQ19" s="377">
        <v>119.48337591187899</v>
      </c>
      <c r="LR19" s="290">
        <f t="shared" si="49"/>
        <v>58295.676405163649</v>
      </c>
      <c r="LS19" s="377">
        <v>157.07111615098</v>
      </c>
      <c r="LT19" s="290">
        <f t="shared" si="50"/>
        <v>81400.158269789186</v>
      </c>
      <c r="LU19" s="377">
        <v>112.15574935818501</v>
      </c>
      <c r="LV19" s="290">
        <f t="shared" si="51"/>
        <v>164249.35552400976</v>
      </c>
      <c r="LW19" s="377">
        <v>116.939890710382</v>
      </c>
      <c r="LX19" s="378">
        <f t="shared" si="52"/>
        <v>352119.44702229556</v>
      </c>
      <c r="LY19" s="379">
        <f t="shared" si="53"/>
        <v>5507374.5955245309</v>
      </c>
      <c r="LZ19" s="379">
        <f t="shared" si="75"/>
        <v>5279699.8004487474</v>
      </c>
      <c r="MA19" s="103"/>
      <c r="MB19" s="335"/>
      <c r="MD19" s="338">
        <v>14</v>
      </c>
      <c r="ME19" s="380">
        <v>14</v>
      </c>
      <c r="MF19" s="20">
        <f t="shared" si="19"/>
        <v>6240504.4553000005</v>
      </c>
      <c r="MG19" s="20">
        <f t="shared" si="19"/>
        <v>6866701.9210171904</v>
      </c>
      <c r="MH19" s="343">
        <f t="shared" si="20"/>
        <v>9104778.7122717984</v>
      </c>
      <c r="MI19" s="20">
        <f t="shared" si="21"/>
        <v>6641441.6471083947</v>
      </c>
      <c r="MJ19" s="20">
        <f t="shared" si="21"/>
        <v>7347590.0960875181</v>
      </c>
      <c r="MK19" s="343">
        <f t="shared" si="54"/>
        <v>7124600.8100789227</v>
      </c>
      <c r="ML19" s="20">
        <f t="shared" si="55"/>
        <v>-400937.19180839416</v>
      </c>
      <c r="MM19" s="20">
        <f t="shared" si="55"/>
        <v>-480888.17507032771</v>
      </c>
      <c r="MN19" s="20">
        <f t="shared" si="55"/>
        <v>1980177.9021928757</v>
      </c>
      <c r="MX19" s="283">
        <f t="shared" si="85"/>
        <v>13</v>
      </c>
      <c r="MY19" s="388" t="s">
        <v>51</v>
      </c>
      <c r="MZ19" s="17">
        <f t="shared" si="115"/>
        <v>3596621.1910385769</v>
      </c>
      <c r="NA19" s="381">
        <f t="shared" si="116"/>
        <v>0.16318212105471561</v>
      </c>
      <c r="NB19" s="97"/>
      <c r="NC19" s="18">
        <f t="shared" si="117"/>
        <v>3596621.1910385769</v>
      </c>
      <c r="ND19" s="381">
        <f t="shared" si="118"/>
        <v>0.16318212105471561</v>
      </c>
      <c r="NH19" s="283">
        <f t="shared" si="86"/>
        <v>13</v>
      </c>
      <c r="NI19" s="388" t="str">
        <f t="shared" si="58"/>
        <v>Vehicle</v>
      </c>
      <c r="NJ19" s="17">
        <v>3646879.9333716799</v>
      </c>
      <c r="NK19" s="17">
        <f t="shared" si="119"/>
        <v>3596621.1910385769</v>
      </c>
      <c r="NL19" s="17">
        <f t="shared" si="77"/>
        <v>-50258.742333102971</v>
      </c>
      <c r="NM19" s="395">
        <f t="shared" si="78"/>
        <v>-1.3781298877760651E-2</v>
      </c>
    </row>
    <row r="20" spans="2:377" x14ac:dyDescent="0.3">
      <c r="B20" s="265">
        <f t="shared" si="79"/>
        <v>15</v>
      </c>
      <c r="C20" s="384"/>
      <c r="D20" s="390" t="s">
        <v>54</v>
      </c>
      <c r="E20" s="286"/>
      <c r="F20" s="18">
        <f>FM36</f>
        <v>10262021.9365</v>
      </c>
      <c r="G20" s="313">
        <f t="shared" si="108"/>
        <v>0.49374890570281921</v>
      </c>
      <c r="H20" s="18">
        <f>FR36</f>
        <v>9669260.545699697</v>
      </c>
      <c r="I20" s="309">
        <f t="shared" si="109"/>
        <v>0.46411085494423426</v>
      </c>
      <c r="J20" s="290">
        <f t="shared" si="59"/>
        <v>-592761.39080030285</v>
      </c>
      <c r="K20" s="18">
        <f>JT26</f>
        <v>9826395.2532786801</v>
      </c>
      <c r="L20" s="309">
        <f t="shared" si="110"/>
        <v>0.46515584067263549</v>
      </c>
      <c r="M20" s="290">
        <f t="shared" si="60"/>
        <v>157134.70757898316</v>
      </c>
      <c r="N20" s="18">
        <f>LX27</f>
        <v>10708205.225362252</v>
      </c>
      <c r="O20" s="309">
        <f t="shared" si="111"/>
        <v>0.48584144633236104</v>
      </c>
      <c r="P20" s="290">
        <f t="shared" si="61"/>
        <v>881809.9720835723</v>
      </c>
      <c r="Q20" s="18">
        <f t="shared" si="62"/>
        <v>446183.28886225261</v>
      </c>
      <c r="R20" s="310">
        <f t="shared" si="63"/>
        <v>-1.6015143080069016E-2</v>
      </c>
      <c r="V20" s="249">
        <f t="shared" si="64"/>
        <v>11</v>
      </c>
      <c r="W20" s="463" t="s">
        <v>134</v>
      </c>
      <c r="X20" s="20">
        <f>X18-X14</f>
        <v>4288424.502602973</v>
      </c>
      <c r="Y20" s="20">
        <f t="shared" ref="Y20:AA20" si="123">Y18-Y14</f>
        <v>11839303.694830788</v>
      </c>
      <c r="Z20" s="20">
        <f t="shared" si="123"/>
        <v>23127433.791378945</v>
      </c>
      <c r="AA20" s="20">
        <f t="shared" si="123"/>
        <v>39255161.988812707</v>
      </c>
      <c r="AB20" s="20"/>
      <c r="AC20" s="349"/>
      <c r="AF20" s="385">
        <f t="shared" si="80"/>
        <v>14</v>
      </c>
      <c r="AG20" s="388" t="s">
        <v>186</v>
      </c>
      <c r="AH20" s="389">
        <f>AH19*3600/$N$24</f>
        <v>3.0694523728800593</v>
      </c>
      <c r="AI20" s="389">
        <f>AI19*3600/$N$24</f>
        <v>0.19273652493560514</v>
      </c>
      <c r="AJ20" s="389">
        <f>AJ19*3600/$N$24</f>
        <v>0.89409478353208882</v>
      </c>
      <c r="AL20" s="464"/>
      <c r="AN20" s="283">
        <f t="shared" si="121"/>
        <v>15</v>
      </c>
      <c r="AO20" s="284"/>
      <c r="AP20" s="282" t="s">
        <v>238</v>
      </c>
      <c r="AQ20" s="281"/>
      <c r="AR20" s="286"/>
      <c r="AS20" s="392">
        <v>8347158.8556000106</v>
      </c>
      <c r="AT20" s="393">
        <v>0.81397546749984451</v>
      </c>
      <c r="AU20" s="394"/>
      <c r="AV20" s="392">
        <v>7285795.8646500036</v>
      </c>
      <c r="AW20" s="393">
        <v>0.67512429859622292</v>
      </c>
      <c r="AX20" s="383">
        <f t="shared" si="96"/>
        <v>-0.17058397267193814</v>
      </c>
      <c r="AY20" s="394"/>
      <c r="AZ20" s="392">
        <v>9252422.5520105362</v>
      </c>
      <c r="BA20" s="393">
        <v>0.71716600089519644</v>
      </c>
      <c r="BB20" s="383">
        <f t="shared" si="97"/>
        <v>6.2272536163178183E-2</v>
      </c>
      <c r="BC20" s="394"/>
      <c r="BD20" s="392">
        <v>10915527.954034619</v>
      </c>
      <c r="BE20" s="393">
        <v>0.74224448966694945</v>
      </c>
      <c r="BF20" s="383">
        <f t="shared" si="98"/>
        <v>3.4968875742086292E-2</v>
      </c>
      <c r="BG20" s="394"/>
      <c r="BH20" s="392">
        <v>3838414.9907733351</v>
      </c>
      <c r="BI20" s="393">
        <v>0.25258689065096962</v>
      </c>
      <c r="BJ20" s="383">
        <f t="shared" si="99"/>
        <v>-0.65969853038005422</v>
      </c>
      <c r="BK20" s="394"/>
      <c r="BL20" s="392">
        <v>5658223.4029922634</v>
      </c>
      <c r="BM20" s="393">
        <v>0.33637236438364621</v>
      </c>
      <c r="BN20" s="383">
        <f t="shared" si="100"/>
        <v>0.33170951000958038</v>
      </c>
      <c r="BO20" s="394"/>
      <c r="BP20" s="392">
        <v>8558427.9676000625</v>
      </c>
      <c r="BQ20" s="393">
        <v>0.46142281150297859</v>
      </c>
      <c r="BR20" s="383">
        <f t="shared" si="101"/>
        <v>0.37176195300249848</v>
      </c>
      <c r="BS20" s="394"/>
      <c r="BT20" s="97">
        <v>12790093</v>
      </c>
      <c r="BU20" s="97">
        <v>0.65</v>
      </c>
      <c r="BV20" s="97">
        <f t="shared" si="102"/>
        <v>0.40868631501501773</v>
      </c>
      <c r="BW20" s="18">
        <v>16992816.141500026</v>
      </c>
      <c r="BX20" s="19">
        <v>0.87785804171546822</v>
      </c>
      <c r="BY20" s="19">
        <f t="shared" si="65"/>
        <v>0.35055083340841264</v>
      </c>
      <c r="BZ20" s="19">
        <v>13569776.854138836</v>
      </c>
      <c r="CA20" s="19">
        <v>0.66521868747413349</v>
      </c>
      <c r="CB20" s="19">
        <f t="shared" si="66"/>
        <v>-0.24222521653478857</v>
      </c>
      <c r="CC20" s="18">
        <f t="shared" si="122"/>
        <v>5345041.1556581408</v>
      </c>
      <c r="CD20" s="19">
        <f t="shared" si="122"/>
        <v>0.2571723426312264</v>
      </c>
      <c r="CE20" s="395">
        <f t="shared" si="104"/>
        <v>-0.61340180684381873</v>
      </c>
      <c r="CF20" s="396">
        <f>CC20/AS20-1</f>
        <v>-0.35965742977657411</v>
      </c>
      <c r="CG20" s="395">
        <f t="shared" si="105"/>
        <v>-2.4459886578234724E-2</v>
      </c>
      <c r="CX20" s="438"/>
      <c r="CY20" s="439"/>
      <c r="CZ20" s="440"/>
      <c r="DA20" s="518"/>
      <c r="DB20" s="440"/>
      <c r="EO20" s="408"/>
      <c r="FE20" s="408"/>
      <c r="FG20" s="483">
        <f t="shared" si="84"/>
        <v>15</v>
      </c>
      <c r="FH20" s="495"/>
      <c r="FI20" s="496" t="s">
        <v>239</v>
      </c>
      <c r="FJ20" s="28">
        <f>SUM(FJ7:FJ19)</f>
        <v>1380140.4319</v>
      </c>
      <c r="FK20" s="28">
        <f>SUM(FK7:FK19)</f>
        <v>2133149.0299999998</v>
      </c>
      <c r="FL20" s="28">
        <f>SUM(FL7:FL19)</f>
        <v>3585332.5999999996</v>
      </c>
      <c r="FM20" s="497">
        <f t="shared" si="28"/>
        <v>7098622.0618999992</v>
      </c>
      <c r="FN20" s="28">
        <v>1367749.0706878789</v>
      </c>
      <c r="FO20" s="28">
        <v>1957850.02</v>
      </c>
      <c r="FP20" s="28">
        <v>3562684.7899999996</v>
      </c>
      <c r="FQ20" s="28">
        <v>6888283.8806878785</v>
      </c>
      <c r="FR20" s="28">
        <v>6888283.8806878785</v>
      </c>
      <c r="FS20" s="103"/>
      <c r="FT20" s="408"/>
      <c r="GB20" s="355"/>
      <c r="GC20" s="355"/>
      <c r="GD20" s="355"/>
      <c r="GE20" s="355"/>
      <c r="HW20" s="283">
        <v>15</v>
      </c>
      <c r="HX20" s="306">
        <v>15</v>
      </c>
      <c r="HY20" s="306">
        <v>10</v>
      </c>
      <c r="HZ20" s="306">
        <v>10</v>
      </c>
      <c r="IA20" s="307">
        <v>149240972</v>
      </c>
      <c r="IB20" s="307">
        <v>147703472</v>
      </c>
      <c r="IC20" s="309">
        <f t="shared" si="5"/>
        <v>1</v>
      </c>
      <c r="ID20" s="309">
        <f t="shared" si="6"/>
        <v>0.98969786929557124</v>
      </c>
      <c r="IE20" s="310">
        <v>0</v>
      </c>
      <c r="IF20" s="310">
        <v>0.7</v>
      </c>
      <c r="IG20" s="310">
        <v>0.3</v>
      </c>
      <c r="IK20" s="410">
        <v>15</v>
      </c>
      <c r="IL20" s="317">
        <v>15</v>
      </c>
      <c r="IM20" s="313">
        <f t="shared" si="7"/>
        <v>0.98969786929557124</v>
      </c>
      <c r="IN20" s="17">
        <v>41766.03</v>
      </c>
      <c r="IO20" s="290">
        <f>IM20*IN20</f>
        <v>41335.750899934908</v>
      </c>
      <c r="IP20" s="17">
        <v>16519827</v>
      </c>
      <c r="IQ20" s="290">
        <v>16334685</v>
      </c>
      <c r="IR20" s="17">
        <v>7053332.9710000008</v>
      </c>
      <c r="IS20" s="290">
        <v>6877204</v>
      </c>
      <c r="IT20" s="17">
        <v>225000</v>
      </c>
      <c r="IU20" s="17">
        <v>225000</v>
      </c>
      <c r="IV20" s="17">
        <f t="shared" si="30"/>
        <v>7320099.0010000011</v>
      </c>
      <c r="IW20" s="17">
        <f t="shared" si="30"/>
        <v>7143539.7508999351</v>
      </c>
      <c r="IX20" s="314"/>
      <c r="IY20" s="315"/>
      <c r="IZ20" s="314"/>
      <c r="JA20" s="316">
        <v>15</v>
      </c>
      <c r="JB20" s="317">
        <v>15</v>
      </c>
      <c r="JC20" s="318">
        <f t="shared" si="8"/>
        <v>1</v>
      </c>
      <c r="JD20" s="319">
        <f t="shared" si="8"/>
        <v>0.98969786929557124</v>
      </c>
      <c r="JE20" s="17">
        <v>2666481.7718156227</v>
      </c>
      <c r="JF20" s="290">
        <f t="shared" si="70"/>
        <v>2639011.3280814015</v>
      </c>
      <c r="JG20" s="17">
        <v>12386.502</v>
      </c>
      <c r="JH20" s="290">
        <f t="shared" si="31"/>
        <v>12258.894637425332</v>
      </c>
      <c r="JI20" s="17">
        <v>1393972.8261843773</v>
      </c>
      <c r="JJ20" s="290">
        <f t="shared" si="32"/>
        <v>1393972.8261843773</v>
      </c>
      <c r="JK20" s="17">
        <v>1404302.105180813</v>
      </c>
      <c r="JL20" s="290">
        <v>1404302.105180813</v>
      </c>
      <c r="JM20" s="17">
        <v>114885.56999999998</v>
      </c>
      <c r="JN20" s="290">
        <f t="shared" si="33"/>
        <v>113702.00384180718</v>
      </c>
      <c r="JO20" s="17">
        <v>58294.29</v>
      </c>
      <c r="JP20" s="290">
        <f t="shared" si="34"/>
        <v>57693.734605098129</v>
      </c>
      <c r="JQ20" s="17">
        <v>404259.63</v>
      </c>
      <c r="JR20" s="290">
        <f t="shared" si="35"/>
        <v>400094.89445321599</v>
      </c>
      <c r="JS20" s="17">
        <v>619509.42179999989</v>
      </c>
      <c r="JT20" s="290">
        <f t="shared" si="36"/>
        <v>613127.15476399125</v>
      </c>
      <c r="JU20" s="17">
        <f t="shared" si="37"/>
        <v>6674092.1169808125</v>
      </c>
      <c r="JV20" s="17">
        <f t="shared" si="37"/>
        <v>6634162.9417481301</v>
      </c>
      <c r="JW20" s="320">
        <f t="shared" si="9"/>
        <v>4.4915416353571764</v>
      </c>
      <c r="KA20" s="283">
        <v>15</v>
      </c>
      <c r="KB20" s="306">
        <v>15</v>
      </c>
      <c r="KC20" s="97">
        <f t="shared" si="10"/>
        <v>10</v>
      </c>
      <c r="KD20" s="390">
        <f>KC20</f>
        <v>10</v>
      </c>
      <c r="KE20" s="289">
        <f t="shared" si="12"/>
        <v>147703472</v>
      </c>
      <c r="KF20" s="289">
        <f t="shared" si="13"/>
        <v>154105123.7651507</v>
      </c>
      <c r="KG20" s="321">
        <f t="shared" si="38"/>
        <v>1</v>
      </c>
      <c r="KH20" s="321">
        <f t="shared" si="39"/>
        <v>1.0433412409232377</v>
      </c>
      <c r="KI20" s="321">
        <f t="shared" si="40"/>
        <v>0.9681934721000317</v>
      </c>
      <c r="KJ20" s="306" t="s">
        <v>256</v>
      </c>
      <c r="KK20" s="322"/>
      <c r="KL20" s="323"/>
      <c r="KM20" s="322"/>
      <c r="KN20" s="283">
        <v>15</v>
      </c>
      <c r="KO20" s="306">
        <v>15</v>
      </c>
      <c r="KP20" s="324" t="str">
        <f t="shared" si="14"/>
        <v>Q3</v>
      </c>
      <c r="KQ20" s="325">
        <f t="shared" si="15"/>
        <v>0.9681934721000317</v>
      </c>
      <c r="KR20" s="17">
        <f t="shared" si="41"/>
        <v>41335.750899934908</v>
      </c>
      <c r="KS20" s="17">
        <f t="shared" si="42"/>
        <v>40021.00418566999</v>
      </c>
      <c r="KT20" s="17">
        <f t="shared" si="16"/>
        <v>16334685</v>
      </c>
      <c r="KU20" s="17">
        <f t="shared" si="43"/>
        <v>16771202.654658146</v>
      </c>
      <c r="KV20" s="17">
        <f t="shared" si="17"/>
        <v>6877204</v>
      </c>
      <c r="KW20" s="17">
        <f t="shared" si="18"/>
        <v>9206513.6743502282</v>
      </c>
      <c r="KX20" s="17">
        <f t="shared" si="44"/>
        <v>225000</v>
      </c>
      <c r="KY20" s="17">
        <f t="shared" si="45"/>
        <v>332739.29523731803</v>
      </c>
      <c r="KZ20" s="17">
        <f t="shared" si="46"/>
        <v>7143539.7508999351</v>
      </c>
      <c r="LA20" s="17">
        <f t="shared" si="46"/>
        <v>9579273.973773215</v>
      </c>
      <c r="LB20" s="326"/>
      <c r="LC20" s="323"/>
      <c r="LD20" s="322"/>
      <c r="LE20" s="364">
        <f t="shared" si="71"/>
        <v>15</v>
      </c>
      <c r="LF20" s="365">
        <v>14</v>
      </c>
      <c r="LG20" s="411">
        <f t="shared" si="72"/>
        <v>1</v>
      </c>
      <c r="LH20" s="411">
        <f t="shared" si="72"/>
        <v>1.0433412409232377</v>
      </c>
      <c r="LI20" s="412">
        <v>106.45762205358784</v>
      </c>
      <c r="LJ20" s="343">
        <f t="shared" si="73"/>
        <v>3002113.553575174</v>
      </c>
      <c r="LK20" s="412">
        <v>106.45762205358784</v>
      </c>
      <c r="LL20" s="343">
        <f t="shared" si="47"/>
        <v>73747.390959609562</v>
      </c>
      <c r="LM20" s="412">
        <v>106.45762205358784</v>
      </c>
      <c r="LN20" s="343">
        <f t="shared" si="48"/>
        <v>1014636.7710911277</v>
      </c>
      <c r="LO20" s="412">
        <v>118.614283549666</v>
      </c>
      <c r="LP20" s="343">
        <f t="shared" si="74"/>
        <v>1625085.1935854214</v>
      </c>
      <c r="LQ20" s="412">
        <v>119.48337591187899</v>
      </c>
      <c r="LR20" s="343">
        <f t="shared" si="49"/>
        <v>172210.13102785897</v>
      </c>
      <c r="LS20" s="412">
        <v>157.07111615098</v>
      </c>
      <c r="LT20" s="343">
        <f t="shared" si="50"/>
        <v>75377.199806435528</v>
      </c>
      <c r="LU20" s="412">
        <v>112.15574935818501</v>
      </c>
      <c r="LV20" s="343">
        <f t="shared" si="51"/>
        <v>460748.50664816098</v>
      </c>
      <c r="LW20" s="412">
        <v>116.939890710382</v>
      </c>
      <c r="LX20" s="343">
        <f t="shared" si="52"/>
        <v>700682.06338513352</v>
      </c>
      <c r="LY20" s="20">
        <f t="shared" si="53"/>
        <v>7347590.0960875181</v>
      </c>
      <c r="LZ20" s="20">
        <f t="shared" si="75"/>
        <v>7124600.8100789227</v>
      </c>
      <c r="MA20" s="103"/>
      <c r="MB20" s="335"/>
      <c r="MD20" s="283">
        <v>15</v>
      </c>
      <c r="ME20" s="336">
        <v>15</v>
      </c>
      <c r="MF20" s="17">
        <f t="shared" si="19"/>
        <v>7320099.0010000011</v>
      </c>
      <c r="MG20" s="17">
        <f t="shared" si="19"/>
        <v>7143539.7508999351</v>
      </c>
      <c r="MH20" s="290">
        <f t="shared" si="20"/>
        <v>9579273.973773215</v>
      </c>
      <c r="MI20" s="17">
        <f t="shared" si="21"/>
        <v>6674092.1169808125</v>
      </c>
      <c r="MJ20" s="17">
        <f t="shared" si="21"/>
        <v>6634162.9417481301</v>
      </c>
      <c r="MK20" s="290">
        <f t="shared" si="54"/>
        <v>6423153.2530484824</v>
      </c>
      <c r="ML20" s="17">
        <f t="shared" si="55"/>
        <v>646006.88401918858</v>
      </c>
      <c r="MM20" s="17">
        <f t="shared" si="55"/>
        <v>509376.80915180501</v>
      </c>
      <c r="MN20" s="17">
        <f t="shared" si="55"/>
        <v>3156120.7207247326</v>
      </c>
      <c r="MX20" s="446">
        <f t="shared" si="85"/>
        <v>14</v>
      </c>
      <c r="MY20" s="418" t="s">
        <v>54</v>
      </c>
      <c r="MZ20" s="24">
        <f t="shared" si="115"/>
        <v>10708205.225362252</v>
      </c>
      <c r="NA20" s="472">
        <f t="shared" si="116"/>
        <v>0.48584144633236104</v>
      </c>
      <c r="NB20" s="453"/>
      <c r="NC20" s="22">
        <f t="shared" si="117"/>
        <v>10708205.225362252</v>
      </c>
      <c r="ND20" s="472">
        <f t="shared" si="118"/>
        <v>0.48584144633236104</v>
      </c>
      <c r="NH20" s="446">
        <f t="shared" si="86"/>
        <v>14</v>
      </c>
      <c r="NI20" s="418" t="str">
        <f t="shared" si="58"/>
        <v>Overhead</v>
      </c>
      <c r="NJ20" s="24">
        <v>11416166.846978595</v>
      </c>
      <c r="NK20" s="24">
        <f t="shared" si="119"/>
        <v>10708205.225362252</v>
      </c>
      <c r="NL20" s="24">
        <f t="shared" si="77"/>
        <v>-707961.62161634304</v>
      </c>
      <c r="NM20" s="473">
        <f t="shared" si="78"/>
        <v>-6.2013951889964912E-2</v>
      </c>
    </row>
    <row r="21" spans="2:377" ht="17.25" thickBot="1" x14ac:dyDescent="0.35">
      <c r="B21" s="226">
        <f t="shared" si="79"/>
        <v>16</v>
      </c>
      <c r="C21" s="474" t="s">
        <v>240</v>
      </c>
      <c r="D21" s="474"/>
      <c r="E21" s="476"/>
      <c r="F21" s="498">
        <f>SUM(F14:F20)</f>
        <v>99050498.270499989</v>
      </c>
      <c r="G21" s="499">
        <f t="shared" si="108"/>
        <v>4.7657348067469085</v>
      </c>
      <c r="H21" s="498">
        <f>SUM(H14:H20)</f>
        <v>94716912.471479237</v>
      </c>
      <c r="I21" s="500">
        <f t="shared" si="109"/>
        <v>4.5462780754591217</v>
      </c>
      <c r="J21" s="501">
        <f t="shared" si="59"/>
        <v>-4333585.7990207523</v>
      </c>
      <c r="K21" s="498">
        <f>SUM(K14:K20)</f>
        <v>96946557.618657649</v>
      </c>
      <c r="L21" s="500">
        <f t="shared" si="110"/>
        <v>4.5891963784357532</v>
      </c>
      <c r="M21" s="501">
        <f t="shared" si="60"/>
        <v>2229645.1471784115</v>
      </c>
      <c r="N21" s="498">
        <f>SUM(N14:N20)</f>
        <v>94401619.801940292</v>
      </c>
      <c r="O21" s="500">
        <f t="shared" si="111"/>
        <v>4.2830911936636671</v>
      </c>
      <c r="P21" s="501">
        <f t="shared" si="61"/>
        <v>-2544937.8167173564</v>
      </c>
      <c r="Q21" s="498">
        <f t="shared" si="62"/>
        <v>-4648878.4685596973</v>
      </c>
      <c r="R21" s="502">
        <f t="shared" si="63"/>
        <v>-0.10127370335419361</v>
      </c>
      <c r="V21" s="275"/>
      <c r="W21" s="276" t="s">
        <v>29</v>
      </c>
      <c r="X21" s="415"/>
      <c r="Y21" s="416"/>
      <c r="Z21" s="416"/>
      <c r="AA21" s="416"/>
      <c r="AB21" s="279"/>
      <c r="AC21" s="351"/>
      <c r="AF21" s="503">
        <f t="shared" si="80"/>
        <v>15</v>
      </c>
      <c r="AG21" s="504" t="s">
        <v>195</v>
      </c>
      <c r="AH21" s="505">
        <f>LJ27/AH19</f>
        <v>18.126229971500372</v>
      </c>
      <c r="AI21" s="505">
        <f>LL27/AI19</f>
        <v>17.29124208865737</v>
      </c>
      <c r="AJ21" s="505">
        <f>LN27/AJ19</f>
        <v>28.701600342097091</v>
      </c>
      <c r="AL21" s="464"/>
      <c r="AN21" s="977" t="s">
        <v>241</v>
      </c>
      <c r="AO21" s="977"/>
      <c r="AP21" s="977"/>
      <c r="AQ21" s="977"/>
      <c r="AR21" s="977"/>
      <c r="AS21" s="977"/>
      <c r="AT21" s="977"/>
      <c r="AU21" s="977"/>
      <c r="AV21" s="977"/>
      <c r="AW21" s="977"/>
      <c r="AX21" s="977"/>
      <c r="AY21" s="977"/>
      <c r="AZ21" s="977"/>
      <c r="BA21" s="977"/>
      <c r="BB21" s="977"/>
      <c r="BC21" s="977"/>
      <c r="BD21" s="977"/>
      <c r="BE21" s="977"/>
      <c r="BF21" s="977"/>
      <c r="BG21" s="977"/>
      <c r="BH21" s="977"/>
      <c r="BI21" s="977"/>
      <c r="BJ21" s="977"/>
      <c r="BK21" s="977"/>
      <c r="BL21" s="977"/>
      <c r="BM21" s="977"/>
      <c r="BN21" s="977"/>
      <c r="BO21" s="977"/>
      <c r="BP21" s="977"/>
      <c r="BQ21" s="977"/>
      <c r="BR21" s="977"/>
      <c r="BS21" s="977"/>
      <c r="BT21" s="977"/>
      <c r="BU21" s="977"/>
      <c r="BV21" s="977"/>
      <c r="BW21" s="977"/>
      <c r="BX21" s="977"/>
      <c r="BY21" s="977"/>
      <c r="BZ21" s="977"/>
      <c r="CA21" s="977"/>
      <c r="CB21" s="977"/>
      <c r="CC21" s="977"/>
      <c r="CD21" s="977"/>
      <c r="CE21" s="977"/>
      <c r="CF21" s="977"/>
      <c r="CG21" s="977"/>
      <c r="CX21" s="438"/>
      <c r="CY21" s="91"/>
      <c r="CZ21" s="506"/>
      <c r="DA21" s="518"/>
      <c r="DB21" s="506"/>
      <c r="EO21" s="408"/>
      <c r="FE21" s="408"/>
      <c r="FG21" s="338">
        <f t="shared" si="84"/>
        <v>16</v>
      </c>
      <c r="FH21" s="474" t="s">
        <v>242</v>
      </c>
      <c r="FI21" s="476"/>
      <c r="FJ21" s="507"/>
      <c r="FK21" s="507"/>
      <c r="FL21" s="507"/>
      <c r="FM21" s="508"/>
      <c r="FN21" s="507"/>
      <c r="FO21" s="507"/>
      <c r="FP21" s="507"/>
      <c r="FQ21" s="507"/>
      <c r="FR21" s="507"/>
      <c r="FS21" s="103"/>
      <c r="FT21" s="408"/>
      <c r="HW21" s="338">
        <v>16</v>
      </c>
      <c r="HX21" s="322">
        <v>16</v>
      </c>
      <c r="HY21" s="322">
        <v>11</v>
      </c>
      <c r="HZ21" s="322">
        <v>11</v>
      </c>
      <c r="IA21" s="347">
        <v>176731631</v>
      </c>
      <c r="IB21" s="347">
        <v>176378863</v>
      </c>
      <c r="IC21" s="342">
        <f t="shared" si="5"/>
        <v>1</v>
      </c>
      <c r="ID21" s="342">
        <f t="shared" si="6"/>
        <v>0.99800393399866261</v>
      </c>
      <c r="IE21" s="344">
        <v>0</v>
      </c>
      <c r="IF21" s="344">
        <v>0.27272727272727271</v>
      </c>
      <c r="IG21" s="344">
        <v>0.72727272727272729</v>
      </c>
      <c r="IK21" s="364">
        <v>16</v>
      </c>
      <c r="IL21" s="365">
        <v>16</v>
      </c>
      <c r="IM21" s="341">
        <f t="shared" si="7"/>
        <v>0.99800393399866261</v>
      </c>
      <c r="IN21" s="20">
        <v>37428.76</v>
      </c>
      <c r="IO21" s="343">
        <f t="shared" si="29"/>
        <v>37354.049724691788</v>
      </c>
      <c r="IP21" s="20">
        <v>19638600</v>
      </c>
      <c r="IQ21" s="343">
        <v>19576608</v>
      </c>
      <c r="IR21" s="20">
        <v>8489478.1173999999</v>
      </c>
      <c r="IS21" s="343">
        <v>7937779</v>
      </c>
      <c r="IT21" s="20">
        <v>247500</v>
      </c>
      <c r="IU21" s="20">
        <v>247500</v>
      </c>
      <c r="IV21" s="20">
        <f t="shared" si="30"/>
        <v>8774406.8773999996</v>
      </c>
      <c r="IW21" s="20">
        <f t="shared" si="30"/>
        <v>8222633.0497246915</v>
      </c>
      <c r="IX21" s="314"/>
      <c r="IY21" s="315"/>
      <c r="IZ21" s="314"/>
      <c r="JA21" s="366">
        <v>16</v>
      </c>
      <c r="JB21" s="365">
        <v>16</v>
      </c>
      <c r="JC21" s="367">
        <f t="shared" si="8"/>
        <v>1</v>
      </c>
      <c r="JD21" s="368">
        <f t="shared" si="8"/>
        <v>0.99800393399866261</v>
      </c>
      <c r="JE21" s="20">
        <v>2972031.7157168714</v>
      </c>
      <c r="JF21" s="343">
        <f t="shared" si="70"/>
        <v>2966099.3442542325</v>
      </c>
      <c r="JG21" s="20">
        <v>123156.16099999999</v>
      </c>
      <c r="JH21" s="343">
        <f t="shared" si="31"/>
        <v>122910.33317417266</v>
      </c>
      <c r="JI21" s="20">
        <v>1606050.4232831288</v>
      </c>
      <c r="JJ21" s="343">
        <f t="shared" si="32"/>
        <v>1606050.4232831288</v>
      </c>
      <c r="JK21" s="20">
        <v>1758443.1926842947</v>
      </c>
      <c r="JL21" s="343">
        <v>1758443.1926842947</v>
      </c>
      <c r="JM21" s="20">
        <v>110720.24800000001</v>
      </c>
      <c r="JN21" s="343">
        <f t="shared" si="33"/>
        <v>110499.24307730756</v>
      </c>
      <c r="JO21" s="20">
        <v>56992.322</v>
      </c>
      <c r="JP21" s="343">
        <f t="shared" si="34"/>
        <v>56878.561563718526</v>
      </c>
      <c r="JQ21" s="20">
        <v>523193.18</v>
      </c>
      <c r="JR21" s="343">
        <f t="shared" si="35"/>
        <v>522148.85188127041</v>
      </c>
      <c r="JS21" s="20">
        <v>717971.55015000002</v>
      </c>
      <c r="JT21" s="343">
        <f t="shared" si="36"/>
        <v>716538.43154881813</v>
      </c>
      <c r="JU21" s="20">
        <f t="shared" si="37"/>
        <v>7868558.792834294</v>
      </c>
      <c r="JV21" s="20">
        <f t="shared" si="37"/>
        <v>7859568.3814669428</v>
      </c>
      <c r="JW21" s="369">
        <f t="shared" si="9"/>
        <v>4.4560715767098147</v>
      </c>
      <c r="KA21" s="338">
        <v>16</v>
      </c>
      <c r="KB21" s="322">
        <v>16</v>
      </c>
      <c r="KC21" s="518">
        <f t="shared" si="10"/>
        <v>11</v>
      </c>
      <c r="KD21" s="96">
        <f>KC21</f>
        <v>11</v>
      </c>
      <c r="KE21" s="370">
        <f t="shared" si="12"/>
        <v>176378863</v>
      </c>
      <c r="KF21" s="370">
        <f t="shared" si="13"/>
        <v>184023341.79504973</v>
      </c>
      <c r="KG21" s="371">
        <f t="shared" si="38"/>
        <v>1</v>
      </c>
      <c r="KH21" s="371">
        <f t="shared" si="39"/>
        <v>1.0433412409232377</v>
      </c>
      <c r="KI21" s="371">
        <f t="shared" si="40"/>
        <v>0.93856958345787211</v>
      </c>
      <c r="KJ21" s="322" t="s">
        <v>441</v>
      </c>
      <c r="KK21" s="322"/>
      <c r="KL21" s="323"/>
      <c r="KM21" s="322"/>
      <c r="KN21" s="338">
        <v>16</v>
      </c>
      <c r="KO21" s="322">
        <v>16</v>
      </c>
      <c r="KP21" s="437" t="str">
        <f t="shared" si="14"/>
        <v>Q2</v>
      </c>
      <c r="KQ21" s="373">
        <f t="shared" si="15"/>
        <v>0.93856958345787211</v>
      </c>
      <c r="KR21" s="358">
        <f t="shared" si="41"/>
        <v>37354.049724691788</v>
      </c>
      <c r="KS21" s="358">
        <f t="shared" si="42"/>
        <v>35059.374890568615</v>
      </c>
      <c r="KT21" s="358">
        <f t="shared" si="16"/>
        <v>19576608</v>
      </c>
      <c r="KU21" s="358">
        <f t="shared" si="43"/>
        <v>20027191.069490805</v>
      </c>
      <c r="KV21" s="358">
        <f t="shared" si="17"/>
        <v>7937779</v>
      </c>
      <c r="KW21" s="358">
        <f t="shared" si="18"/>
        <v>10993881.132840568</v>
      </c>
      <c r="KX21" s="358">
        <f t="shared" si="44"/>
        <v>247500</v>
      </c>
      <c r="KY21" s="358">
        <f t="shared" si="45"/>
        <v>397337.84030059539</v>
      </c>
      <c r="KZ21" s="358">
        <f t="shared" si="46"/>
        <v>8222633.0497246915</v>
      </c>
      <c r="LA21" s="358">
        <f t="shared" si="46"/>
        <v>11426278.348031731</v>
      </c>
      <c r="LB21" s="326"/>
      <c r="LC21" s="323"/>
      <c r="LD21" s="322"/>
      <c r="LE21" s="374">
        <f t="shared" si="71"/>
        <v>16</v>
      </c>
      <c r="LF21" s="375">
        <v>15</v>
      </c>
      <c r="LG21" s="376">
        <f t="shared" si="72"/>
        <v>1</v>
      </c>
      <c r="LH21" s="376">
        <f t="shared" si="72"/>
        <v>1.0433412409232377</v>
      </c>
      <c r="LI21" s="377">
        <v>106.45762205358784</v>
      </c>
      <c r="LJ21" s="290">
        <f t="shared" si="73"/>
        <v>2428522.1959379129</v>
      </c>
      <c r="LK21" s="377">
        <v>106.45762205358784</v>
      </c>
      <c r="LL21" s="290">
        <f t="shared" si="47"/>
        <v>11281.11782161072</v>
      </c>
      <c r="LM21" s="377">
        <v>106.45762205358784</v>
      </c>
      <c r="LN21" s="290">
        <f t="shared" si="48"/>
        <v>1229500.631353986</v>
      </c>
      <c r="LO21" s="377">
        <v>118.614283549666</v>
      </c>
      <c r="LP21" s="290">
        <f t="shared" si="74"/>
        <v>1468932.6274243365</v>
      </c>
      <c r="LQ21" s="377">
        <v>119.48337591187899</v>
      </c>
      <c r="LR21" s="290">
        <f t="shared" si="49"/>
        <v>124026.3128865257</v>
      </c>
      <c r="LS21" s="377">
        <v>157.07111615098</v>
      </c>
      <c r="LT21" s="290">
        <f t="shared" si="50"/>
        <v>54730.680935186712</v>
      </c>
      <c r="LU21" s="377">
        <v>112.15574935818501</v>
      </c>
      <c r="LV21" s="290">
        <f t="shared" si="51"/>
        <v>438843.38219141442</v>
      </c>
      <c r="LW21" s="377">
        <v>116.939890710382</v>
      </c>
      <c r="LX21" s="378">
        <f t="shared" si="52"/>
        <v>667316.30449751043</v>
      </c>
      <c r="LY21" s="379">
        <f t="shared" si="53"/>
        <v>6634162.9417481301</v>
      </c>
      <c r="LZ21" s="379">
        <f t="shared" si="75"/>
        <v>6423153.2530484824</v>
      </c>
      <c r="MA21" s="103"/>
      <c r="MB21" s="335"/>
      <c r="MD21" s="338">
        <v>16</v>
      </c>
      <c r="ME21" s="380">
        <v>16</v>
      </c>
      <c r="MF21" s="20">
        <f t="shared" si="19"/>
        <v>8774406.8773999996</v>
      </c>
      <c r="MG21" s="20">
        <f t="shared" si="19"/>
        <v>8222633.0497246915</v>
      </c>
      <c r="MH21" s="343">
        <f t="shared" si="20"/>
        <v>11426278.348031731</v>
      </c>
      <c r="MI21" s="20">
        <f t="shared" si="21"/>
        <v>7868558.792834294</v>
      </c>
      <c r="MJ21" s="20">
        <f t="shared" si="21"/>
        <v>7859568.3814669428</v>
      </c>
      <c r="MK21" s="343">
        <f t="shared" si="54"/>
        <v>7376751.8219520906</v>
      </c>
      <c r="ML21" s="20">
        <f t="shared" si="55"/>
        <v>905848.08456570562</v>
      </c>
      <c r="MM21" s="20">
        <f t="shared" si="55"/>
        <v>363064.66825774871</v>
      </c>
      <c r="MN21" s="20">
        <f t="shared" si="55"/>
        <v>4049526.5260796407</v>
      </c>
      <c r="MX21" s="283">
        <f t="shared" si="85"/>
        <v>15</v>
      </c>
      <c r="MY21" s="285" t="s">
        <v>60</v>
      </c>
      <c r="MZ21" s="28">
        <f t="shared" si="115"/>
        <v>94401619.801940292</v>
      </c>
      <c r="NA21" s="509">
        <f t="shared" si="116"/>
        <v>4.2830911936636671</v>
      </c>
      <c r="NB21" s="285"/>
      <c r="NC21" s="510">
        <f>SUM(NC14:NC20)</f>
        <v>94401619.801940292</v>
      </c>
      <c r="ND21" s="509">
        <f t="shared" si="118"/>
        <v>4.2830911936636671</v>
      </c>
      <c r="NH21" s="283">
        <f t="shared" si="86"/>
        <v>15</v>
      </c>
      <c r="NI21" s="285" t="str">
        <f t="shared" si="58"/>
        <v>Total Operating Expenses</v>
      </c>
      <c r="NJ21" s="28">
        <v>117795882.44673061</v>
      </c>
      <c r="NK21" s="511">
        <f t="shared" si="119"/>
        <v>94401619.801940292</v>
      </c>
      <c r="NL21" s="511">
        <f t="shared" si="77"/>
        <v>-23394262.644790322</v>
      </c>
      <c r="NM21" s="466">
        <f t="shared" si="78"/>
        <v>-0.19860000331819427</v>
      </c>
    </row>
    <row r="22" spans="2:377" x14ac:dyDescent="0.3">
      <c r="B22" s="265">
        <f t="shared" si="79"/>
        <v>17</v>
      </c>
      <c r="C22" s="285" t="s">
        <v>238</v>
      </c>
      <c r="D22" s="285"/>
      <c r="E22" s="297"/>
      <c r="F22" s="510">
        <f>F12-F21</f>
        <v>5345041.1556581408</v>
      </c>
      <c r="G22" s="512">
        <f t="shared" si="108"/>
        <v>0.2571723426312264</v>
      </c>
      <c r="H22" s="510">
        <f>H12-H21</f>
        <v>3158874.550727129</v>
      </c>
      <c r="I22" s="513">
        <f t="shared" si="109"/>
        <v>0.15162151867461782</v>
      </c>
      <c r="J22" s="497">
        <f t="shared" si="59"/>
        <v>-2186166.6049310118</v>
      </c>
      <c r="K22" s="510">
        <f>K12-K21</f>
        <v>2982698.3570908159</v>
      </c>
      <c r="L22" s="513">
        <f t="shared" si="110"/>
        <v>0.14119313603862413</v>
      </c>
      <c r="M22" s="497">
        <f t="shared" si="60"/>
        <v>-176176.19363631308</v>
      </c>
      <c r="N22" s="510">
        <f>N12-N21</f>
        <v>42237860.345903486</v>
      </c>
      <c r="O22" s="513">
        <f t="shared" si="111"/>
        <v>1.9163718595749848</v>
      </c>
      <c r="P22" s="497">
        <f t="shared" si="61"/>
        <v>39255161.98881267</v>
      </c>
      <c r="Q22" s="510">
        <f t="shared" si="62"/>
        <v>36892819.190245345</v>
      </c>
      <c r="R22" s="514">
        <f t="shared" si="63"/>
        <v>6.4517027763089443</v>
      </c>
      <c r="V22" s="515">
        <v>11</v>
      </c>
      <c r="W22" s="516" t="s">
        <v>243</v>
      </c>
      <c r="X22" s="20">
        <f>X18-X7</f>
        <v>2546996.0923217614</v>
      </c>
      <c r="Y22" s="20">
        <f>Y18-Y7</f>
        <v>11166279.937996734</v>
      </c>
      <c r="Z22" s="20">
        <f>Z18-Z7</f>
        <v>23179543.159926955</v>
      </c>
      <c r="AA22" s="20">
        <f>AA18-AA7</f>
        <v>36892819.19024545</v>
      </c>
      <c r="AB22" s="20"/>
      <c r="AL22" s="464"/>
      <c r="AN22" s="338">
        <v>18</v>
      </c>
      <c r="AO22" s="492"/>
      <c r="AP22" s="493" t="s">
        <v>244</v>
      </c>
      <c r="AQ22" s="475"/>
      <c r="AR22" s="352"/>
      <c r="AS22" s="517"/>
      <c r="AT22" s="349">
        <v>1025480397</v>
      </c>
      <c r="AU22" s="351"/>
      <c r="AV22" s="517"/>
      <c r="AW22" s="349">
        <v>1079178438.6666701</v>
      </c>
      <c r="AX22" s="351"/>
      <c r="AY22" s="350"/>
      <c r="AZ22" s="517"/>
      <c r="BA22" s="349">
        <v>1290136807.9999998</v>
      </c>
      <c r="BB22" s="351"/>
      <c r="BC22" s="350"/>
      <c r="BD22" s="517"/>
      <c r="BE22" s="349">
        <v>1470610844</v>
      </c>
      <c r="BF22" s="351"/>
      <c r="BG22" s="350"/>
      <c r="BH22" s="517"/>
      <c r="BI22" s="349">
        <v>1519641411.6666667</v>
      </c>
      <c r="BJ22" s="351"/>
      <c r="BK22" s="350"/>
      <c r="BL22" s="517"/>
      <c r="BM22" s="349">
        <v>1682130877</v>
      </c>
      <c r="BN22" s="351"/>
      <c r="BO22" s="350"/>
      <c r="BP22" s="517"/>
      <c r="BQ22" s="349">
        <v>1854790824</v>
      </c>
      <c r="BR22" s="351"/>
      <c r="BS22" s="350"/>
      <c r="BT22" s="959">
        <v>1962055288</v>
      </c>
      <c r="BU22" s="959"/>
      <c r="BV22" s="960"/>
      <c r="BW22" s="519"/>
      <c r="BZ22" s="520"/>
      <c r="CA22" s="352"/>
      <c r="CC22" s="521">
        <f>F24</f>
        <v>2078388796</v>
      </c>
      <c r="CD22" s="16"/>
      <c r="CE22" s="352"/>
      <c r="CF22" s="520">
        <f>CC22/AT22-1</f>
        <v>1.0267464907961572</v>
      </c>
      <c r="CG22" s="352">
        <f t="shared" si="105"/>
        <v>4.0026517835208386E-2</v>
      </c>
      <c r="CZ22" s="347"/>
      <c r="DB22" s="347"/>
      <c r="DC22" s="103"/>
      <c r="DD22" s="103"/>
      <c r="EO22" s="106"/>
      <c r="FE22" s="106"/>
      <c r="FG22" s="338">
        <f>FG21+1</f>
        <v>17</v>
      </c>
      <c r="FH22" s="97"/>
      <c r="FI22" s="286" t="s">
        <v>245</v>
      </c>
      <c r="FJ22" s="17">
        <v>400</v>
      </c>
      <c r="FK22" s="17">
        <v>2406.81</v>
      </c>
      <c r="FL22" s="17">
        <v>2800</v>
      </c>
      <c r="FM22" s="290">
        <f>FJ22+FL22+FK22</f>
        <v>5606.8099999999995</v>
      </c>
      <c r="FN22" s="17">
        <v>0</v>
      </c>
      <c r="FO22" s="17">
        <v>0</v>
      </c>
      <c r="FP22" s="17">
        <v>0</v>
      </c>
      <c r="FQ22" s="17">
        <v>0</v>
      </c>
      <c r="FR22" s="17">
        <v>0</v>
      </c>
      <c r="FS22" s="103"/>
      <c r="FT22" s="408"/>
      <c r="HW22" s="283">
        <v>17</v>
      </c>
      <c r="HX22" s="306">
        <v>17</v>
      </c>
      <c r="HY22" s="306">
        <v>10</v>
      </c>
      <c r="HZ22" s="306">
        <v>10</v>
      </c>
      <c r="IA22" s="307">
        <v>183774613</v>
      </c>
      <c r="IB22" s="307">
        <v>183737150</v>
      </c>
      <c r="IC22" s="309">
        <f t="shared" si="5"/>
        <v>1</v>
      </c>
      <c r="ID22" s="309">
        <f t="shared" si="6"/>
        <v>0.99979614703364927</v>
      </c>
      <c r="IE22" s="310">
        <v>0</v>
      </c>
      <c r="IF22" s="310">
        <v>0.2</v>
      </c>
      <c r="IG22" s="310">
        <v>0.8</v>
      </c>
      <c r="IK22" s="410">
        <v>17</v>
      </c>
      <c r="IL22" s="317">
        <v>17</v>
      </c>
      <c r="IM22" s="313">
        <f t="shared" si="7"/>
        <v>0.99979614703364927</v>
      </c>
      <c r="IN22" s="17">
        <v>7831.14</v>
      </c>
      <c r="IO22" s="290">
        <f t="shared" si="29"/>
        <v>7829.5435988810923</v>
      </c>
      <c r="IP22" s="17">
        <v>20395998</v>
      </c>
      <c r="IQ22" s="290">
        <v>20373895</v>
      </c>
      <c r="IR22" s="17">
        <v>8616753.1788999997</v>
      </c>
      <c r="IS22" s="290">
        <v>8578324</v>
      </c>
      <c r="IT22" s="17">
        <v>225000</v>
      </c>
      <c r="IU22" s="17">
        <v>225000</v>
      </c>
      <c r="IV22" s="17">
        <f t="shared" si="30"/>
        <v>8849584.3189000003</v>
      </c>
      <c r="IW22" s="17">
        <f t="shared" si="30"/>
        <v>8811153.543598881</v>
      </c>
      <c r="IX22" s="314"/>
      <c r="IY22" s="315"/>
      <c r="IZ22" s="314"/>
      <c r="JA22" s="316">
        <v>17</v>
      </c>
      <c r="JB22" s="317">
        <v>17</v>
      </c>
      <c r="JC22" s="318">
        <f t="shared" si="8"/>
        <v>1</v>
      </c>
      <c r="JD22" s="319">
        <f t="shared" si="8"/>
        <v>0.99979614703364927</v>
      </c>
      <c r="JE22" s="17">
        <v>3071493.5962138455</v>
      </c>
      <c r="JF22" s="290">
        <f t="shared" si="70"/>
        <v>3070867.4631331302</v>
      </c>
      <c r="JG22" s="17">
        <v>140453.43700000003</v>
      </c>
      <c r="JH22" s="290">
        <f t="shared" si="31"/>
        <v>140424.80515023344</v>
      </c>
      <c r="JI22" s="17">
        <v>1584888.0867861542</v>
      </c>
      <c r="JJ22" s="290">
        <f t="shared" si="32"/>
        <v>1584888.0867861542</v>
      </c>
      <c r="JK22" s="17">
        <v>1875089.1032839823</v>
      </c>
      <c r="JL22" s="290">
        <v>1875089.1032839823</v>
      </c>
      <c r="JM22" s="17">
        <v>122276.40949999998</v>
      </c>
      <c r="JN22" s="290">
        <f t="shared" si="33"/>
        <v>122251.48309120869</v>
      </c>
      <c r="JO22" s="17">
        <v>66937.261999999988</v>
      </c>
      <c r="JP22" s="290">
        <f t="shared" si="34"/>
        <v>66923.616640581895</v>
      </c>
      <c r="JQ22" s="17">
        <v>216514.44469999999</v>
      </c>
      <c r="JR22" s="290">
        <f t="shared" si="35"/>
        <v>216470.30758819013</v>
      </c>
      <c r="JS22" s="17">
        <v>796380.27040000004</v>
      </c>
      <c r="JT22" s="290">
        <f t="shared" si="36"/>
        <v>796217.9259195358</v>
      </c>
      <c r="JU22" s="17">
        <f t="shared" si="37"/>
        <v>7874032.6098839818</v>
      </c>
      <c r="JV22" s="17">
        <f t="shared" si="37"/>
        <v>7873132.7915930171</v>
      </c>
      <c r="JW22" s="320">
        <f t="shared" si="9"/>
        <v>4.2849977762216396</v>
      </c>
      <c r="KA22" s="283">
        <v>17</v>
      </c>
      <c r="KB22" s="306">
        <v>17</v>
      </c>
      <c r="KC22" s="97">
        <f t="shared" si="10"/>
        <v>10</v>
      </c>
      <c r="KD22" s="390">
        <f t="shared" ref="KD22:KD25" si="124">KC22</f>
        <v>10</v>
      </c>
      <c r="KE22" s="289">
        <f t="shared" si="12"/>
        <v>183737150</v>
      </c>
      <c r="KF22" s="289">
        <f t="shared" si="13"/>
        <v>191700546.08469906</v>
      </c>
      <c r="KG22" s="321">
        <f t="shared" si="38"/>
        <v>1</v>
      </c>
      <c r="KH22" s="321">
        <f t="shared" si="39"/>
        <v>1.0433412409232377</v>
      </c>
      <c r="KI22" s="321">
        <f t="shared" si="40"/>
        <v>0.96725121103185696</v>
      </c>
      <c r="KJ22" s="306" t="s">
        <v>256</v>
      </c>
      <c r="KK22" s="322"/>
      <c r="KL22" s="323"/>
      <c r="KM22" s="322"/>
      <c r="KN22" s="283">
        <v>17</v>
      </c>
      <c r="KO22" s="306">
        <v>17</v>
      </c>
      <c r="KP22" s="324" t="str">
        <f t="shared" si="14"/>
        <v>Q3</v>
      </c>
      <c r="KQ22" s="325">
        <f t="shared" si="15"/>
        <v>0.96725121103185696</v>
      </c>
      <c r="KR22" s="17">
        <f t="shared" si="41"/>
        <v>7829.5435988810923</v>
      </c>
      <c r="KS22" s="17">
        <f t="shared" si="42"/>
        <v>7573.1355278444598</v>
      </c>
      <c r="KT22" s="17">
        <f t="shared" si="16"/>
        <v>20373895</v>
      </c>
      <c r="KU22" s="17">
        <f t="shared" si="43"/>
        <v>20862698.32464955</v>
      </c>
      <c r="KV22" s="17">
        <f t="shared" si="17"/>
        <v>8578324</v>
      </c>
      <c r="KW22" s="17">
        <f t="shared" si="18"/>
        <v>11452530.946335092</v>
      </c>
      <c r="KX22" s="17">
        <f t="shared" si="44"/>
        <v>225000</v>
      </c>
      <c r="KY22" s="17">
        <f t="shared" si="45"/>
        <v>413914.23621994059</v>
      </c>
      <c r="KZ22" s="17">
        <f t="shared" si="46"/>
        <v>8811153.543598881</v>
      </c>
      <c r="LA22" s="17">
        <f t="shared" si="46"/>
        <v>11874018.318082877</v>
      </c>
      <c r="LB22" s="326"/>
      <c r="LC22" s="323"/>
      <c r="LD22" s="322"/>
      <c r="LE22" s="364">
        <f t="shared" si="71"/>
        <v>17</v>
      </c>
      <c r="LF22" s="365">
        <v>16</v>
      </c>
      <c r="LG22" s="411">
        <f t="shared" si="72"/>
        <v>1</v>
      </c>
      <c r="LH22" s="411">
        <f t="shared" si="72"/>
        <v>1.0433412409232377</v>
      </c>
      <c r="LI22" s="412">
        <v>113.92083696213525</v>
      </c>
      <c r="LJ22" s="343">
        <f t="shared" si="73"/>
        <v>2550704.2725976012</v>
      </c>
      <c r="LK22" s="412">
        <v>113.92083696213525</v>
      </c>
      <c r="LL22" s="343">
        <f t="shared" si="47"/>
        <v>105697.03694553167</v>
      </c>
      <c r="LM22" s="412">
        <v>113.92083696213525</v>
      </c>
      <c r="LN22" s="343">
        <f t="shared" si="48"/>
        <v>1323753.7962013045</v>
      </c>
      <c r="LO22" s="412">
        <v>118.41952153062</v>
      </c>
      <c r="LP22" s="343">
        <f t="shared" si="74"/>
        <v>1842397.60847645</v>
      </c>
      <c r="LQ22" s="412">
        <v>118.887537452888</v>
      </c>
      <c r="LR22" s="343">
        <f t="shared" si="49"/>
        <v>121136.82057753886</v>
      </c>
      <c r="LS22" s="412">
        <v>168.49721907230401</v>
      </c>
      <c r="LT22" s="343">
        <f t="shared" si="50"/>
        <v>50298.42615030225</v>
      </c>
      <c r="LU22" s="412">
        <v>107.679074448752</v>
      </c>
      <c r="LV22" s="343">
        <f t="shared" si="51"/>
        <v>596528.36458596808</v>
      </c>
      <c r="LW22" s="412">
        <v>115.99271402550001</v>
      </c>
      <c r="LX22" s="343">
        <f t="shared" si="52"/>
        <v>786235.4964173953</v>
      </c>
      <c r="LY22" s="20">
        <f t="shared" si="53"/>
        <v>7859568.3814669428</v>
      </c>
      <c r="LZ22" s="20">
        <f t="shared" si="75"/>
        <v>7376751.8219520906</v>
      </c>
      <c r="MA22" s="103"/>
      <c r="MB22" s="335"/>
      <c r="MD22" s="283">
        <v>17</v>
      </c>
      <c r="ME22" s="336">
        <v>17</v>
      </c>
      <c r="MF22" s="17">
        <f t="shared" si="19"/>
        <v>8849584.3189000003</v>
      </c>
      <c r="MG22" s="17">
        <f t="shared" si="19"/>
        <v>8811153.543598881</v>
      </c>
      <c r="MH22" s="290">
        <f t="shared" si="20"/>
        <v>11874018.318082877</v>
      </c>
      <c r="MI22" s="17">
        <f t="shared" si="21"/>
        <v>7874032.6098839818</v>
      </c>
      <c r="MJ22" s="17">
        <f t="shared" si="21"/>
        <v>7873132.7915930171</v>
      </c>
      <c r="MK22" s="290">
        <f t="shared" si="54"/>
        <v>7615297.2272829702</v>
      </c>
      <c r="ML22" s="17">
        <f t="shared" si="55"/>
        <v>975551.70901601855</v>
      </c>
      <c r="MM22" s="17">
        <f t="shared" si="55"/>
        <v>938020.75200586393</v>
      </c>
      <c r="MN22" s="17">
        <f t="shared" si="55"/>
        <v>4258721.0907999063</v>
      </c>
      <c r="MX22" s="338">
        <f t="shared" si="85"/>
        <v>16</v>
      </c>
      <c r="MZ22" s="20"/>
      <c r="NA22" s="414"/>
      <c r="NC22" s="15"/>
      <c r="ND22" s="414"/>
      <c r="NH22" s="338">
        <f t="shared" si="86"/>
        <v>16</v>
      </c>
      <c r="NI22" s="96"/>
      <c r="NJ22" s="20"/>
      <c r="NK22" s="20"/>
      <c r="NL22" s="20"/>
      <c r="NM22" s="352"/>
    </row>
    <row r="23" spans="2:377" ht="17.25" thickBot="1" x14ac:dyDescent="0.35">
      <c r="B23" s="899" t="s">
        <v>246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V23" s="522">
        <v>12</v>
      </c>
      <c r="W23" s="523" t="s">
        <v>247</v>
      </c>
      <c r="X23" s="524">
        <f>X19/X8-1</f>
        <v>-10.463239568024642</v>
      </c>
      <c r="Y23" s="524">
        <f>Y19/Y8-1</f>
        <v>6.2224277353768054</v>
      </c>
      <c r="Z23" s="524">
        <f>Z19/Z8-1</f>
        <v>5.549023910218799</v>
      </c>
      <c r="AA23" s="524">
        <f>AA19/AA8-1</f>
        <v>6.4517027763090828</v>
      </c>
      <c r="AB23" s="344"/>
      <c r="AL23" s="464"/>
      <c r="AN23" s="467">
        <v>19</v>
      </c>
      <c r="AO23" s="525"/>
      <c r="AP23" s="526" t="s">
        <v>248</v>
      </c>
      <c r="AQ23" s="527"/>
      <c r="AR23" s="528"/>
      <c r="AS23" s="529"/>
      <c r="AT23" s="530">
        <v>158</v>
      </c>
      <c r="AU23" s="531"/>
      <c r="AV23" s="529"/>
      <c r="AW23" s="530">
        <v>165</v>
      </c>
      <c r="AX23" s="531"/>
      <c r="AY23" s="532"/>
      <c r="AZ23" s="529"/>
      <c r="BA23" s="530">
        <v>184</v>
      </c>
      <c r="BB23" s="531"/>
      <c r="BC23" s="532"/>
      <c r="BD23" s="529"/>
      <c r="BE23" s="530">
        <v>190</v>
      </c>
      <c r="BF23" s="531"/>
      <c r="BG23" s="532"/>
      <c r="BH23" s="529"/>
      <c r="BI23" s="530">
        <v>191</v>
      </c>
      <c r="BJ23" s="531"/>
      <c r="BK23" s="532"/>
      <c r="BL23" s="529"/>
      <c r="BM23" s="530">
        <v>195</v>
      </c>
      <c r="BN23" s="531"/>
      <c r="BO23" s="532"/>
      <c r="BP23" s="529"/>
      <c r="BQ23" s="530">
        <v>189</v>
      </c>
      <c r="BR23" s="531"/>
      <c r="BS23" s="532"/>
      <c r="BT23" s="961">
        <v>179</v>
      </c>
      <c r="BU23" s="961"/>
      <c r="BV23" s="962"/>
      <c r="BW23" s="533"/>
      <c r="BX23" s="901"/>
      <c r="BY23" s="901"/>
      <c r="BZ23" s="534"/>
      <c r="CA23" s="535"/>
      <c r="CB23" s="97"/>
      <c r="CC23" s="536">
        <f>F25</f>
        <v>205</v>
      </c>
      <c r="CD23" s="535"/>
      <c r="CE23" s="528"/>
      <c r="CF23" s="534">
        <f>CC23/AT23-1</f>
        <v>0.29746835443037978</v>
      </c>
      <c r="CG23" s="528">
        <f t="shared" si="105"/>
        <v>1.4572657766658947E-2</v>
      </c>
      <c r="DA23" s="518"/>
      <c r="DX23" s="493"/>
      <c r="DZ23" s="537"/>
      <c r="EO23" s="538"/>
      <c r="FE23" s="538"/>
      <c r="FG23" s="338">
        <f t="shared" si="84"/>
        <v>18</v>
      </c>
      <c r="FH23" s="360"/>
      <c r="FI23" s="361" t="s">
        <v>249</v>
      </c>
      <c r="FJ23" s="20">
        <v>184467.98630000005</v>
      </c>
      <c r="FK23" s="20">
        <v>403622.42860000004</v>
      </c>
      <c r="FL23" s="20">
        <v>584954.08510000003</v>
      </c>
      <c r="FM23" s="343">
        <f>FJ23+FL23+FK23</f>
        <v>1173044.5</v>
      </c>
      <c r="FN23" s="20">
        <v>186722.60478181817</v>
      </c>
      <c r="FO23" s="20">
        <v>404621.59053000004</v>
      </c>
      <c r="FP23" s="20">
        <v>584954.08509999991</v>
      </c>
      <c r="FQ23" s="20">
        <v>1176298.2804118181</v>
      </c>
      <c r="FR23" s="20">
        <v>1176298.2804118181</v>
      </c>
      <c r="FS23" s="103"/>
      <c r="FT23" s="408"/>
      <c r="HW23" s="338">
        <v>18</v>
      </c>
      <c r="HX23" s="322">
        <v>18</v>
      </c>
      <c r="HY23" s="322">
        <v>10</v>
      </c>
      <c r="HZ23" s="322">
        <v>10</v>
      </c>
      <c r="IA23" s="347">
        <v>213390219</v>
      </c>
      <c r="IB23" s="347">
        <v>213547750</v>
      </c>
      <c r="IC23" s="342">
        <f t="shared" si="5"/>
        <v>1</v>
      </c>
      <c r="ID23" s="342">
        <f t="shared" si="6"/>
        <v>1.0007382297123937</v>
      </c>
      <c r="IE23" s="344">
        <v>0</v>
      </c>
      <c r="IF23" s="344">
        <v>0.1</v>
      </c>
      <c r="IG23" s="344">
        <v>0.9</v>
      </c>
      <c r="IK23" s="364">
        <v>18</v>
      </c>
      <c r="IL23" s="365">
        <v>18</v>
      </c>
      <c r="IM23" s="341">
        <f t="shared" si="7"/>
        <v>1.0007382297123937</v>
      </c>
      <c r="IN23" s="20">
        <v>28794.560000000001</v>
      </c>
      <c r="IO23" s="343">
        <f t="shared" si="29"/>
        <v>28815.816999747305</v>
      </c>
      <c r="IP23" s="20">
        <v>23950319.75</v>
      </c>
      <c r="IQ23" s="343">
        <v>23993455</v>
      </c>
      <c r="IR23" s="20">
        <v>10389360.884500001</v>
      </c>
      <c r="IS23" s="343">
        <v>10106699</v>
      </c>
      <c r="IT23" s="20">
        <v>225000</v>
      </c>
      <c r="IU23" s="20">
        <v>225000</v>
      </c>
      <c r="IV23" s="20">
        <f t="shared" si="30"/>
        <v>10643155.444500001</v>
      </c>
      <c r="IW23" s="20">
        <f t="shared" si="30"/>
        <v>10360514.816999746</v>
      </c>
      <c r="IX23" s="314"/>
      <c r="IY23" s="315"/>
      <c r="IZ23" s="314"/>
      <c r="JA23" s="366">
        <v>18</v>
      </c>
      <c r="JB23" s="365">
        <v>18</v>
      </c>
      <c r="JC23" s="367">
        <f t="shared" si="8"/>
        <v>1</v>
      </c>
      <c r="JD23" s="368">
        <f t="shared" si="8"/>
        <v>1.0007382297123937</v>
      </c>
      <c r="JE23" s="20">
        <v>3366026.4962374517</v>
      </c>
      <c r="JF23" s="343">
        <f t="shared" si="70"/>
        <v>3368511.3970096787</v>
      </c>
      <c r="JG23" s="20">
        <v>315994.95600000006</v>
      </c>
      <c r="JH23" s="343">
        <f t="shared" si="31"/>
        <v>316228.23286548577</v>
      </c>
      <c r="JI23" s="20">
        <v>1356438.8177625476</v>
      </c>
      <c r="JJ23" s="343">
        <f t="shared" si="32"/>
        <v>1356438.8177625476</v>
      </c>
      <c r="JK23" s="20">
        <v>2031537.2144496564</v>
      </c>
      <c r="JL23" s="343">
        <v>2031537.2144496564</v>
      </c>
      <c r="JM23" s="20">
        <v>178113.86633333337</v>
      </c>
      <c r="JN23" s="343">
        <f t="shared" si="33"/>
        <v>178245.35528164994</v>
      </c>
      <c r="JO23" s="20">
        <v>93376.38466666668</v>
      </c>
      <c r="JP23" s="343">
        <f t="shared" si="34"/>
        <v>93445.317888263511</v>
      </c>
      <c r="JQ23" s="20">
        <v>626429.43999999994</v>
      </c>
      <c r="JR23" s="343">
        <f t="shared" si="35"/>
        <v>626891.88882532611</v>
      </c>
      <c r="JS23" s="20">
        <v>1182378.5</v>
      </c>
      <c r="JT23" s="343">
        <f t="shared" si="36"/>
        <v>1183251.3669399954</v>
      </c>
      <c r="JU23" s="20">
        <f t="shared" si="37"/>
        <v>9150295.6754496563</v>
      </c>
      <c r="JV23" s="20">
        <f t="shared" si="37"/>
        <v>9154549.5910226032</v>
      </c>
      <c r="JW23" s="369">
        <f t="shared" si="9"/>
        <v>4.2868864649815341</v>
      </c>
      <c r="KA23" s="338">
        <v>18</v>
      </c>
      <c r="KB23" s="322">
        <v>18</v>
      </c>
      <c r="KC23" s="518">
        <f t="shared" si="10"/>
        <v>10</v>
      </c>
      <c r="KD23" s="96">
        <f t="shared" si="124"/>
        <v>10</v>
      </c>
      <c r="KE23" s="370">
        <f t="shared" si="12"/>
        <v>213547750</v>
      </c>
      <c r="KF23" s="370">
        <f t="shared" si="13"/>
        <v>222803174.48136532</v>
      </c>
      <c r="KG23" s="371">
        <f t="shared" si="38"/>
        <v>1</v>
      </c>
      <c r="KH23" s="371">
        <f t="shared" si="39"/>
        <v>1.0433412409232377</v>
      </c>
      <c r="KI23" s="371">
        <f t="shared" si="40"/>
        <v>0.95120181254607428</v>
      </c>
      <c r="KJ23" s="322" t="s">
        <v>441</v>
      </c>
      <c r="KK23" s="322"/>
      <c r="KL23" s="323"/>
      <c r="KM23" s="322"/>
      <c r="KN23" s="338">
        <v>18</v>
      </c>
      <c r="KO23" s="322">
        <v>18</v>
      </c>
      <c r="KP23" s="437" t="str">
        <f t="shared" si="14"/>
        <v>Q2</v>
      </c>
      <c r="KQ23" s="373">
        <f t="shared" si="15"/>
        <v>0.95120181254607428</v>
      </c>
      <c r="KR23" s="358">
        <f t="shared" si="41"/>
        <v>28815.816999747305</v>
      </c>
      <c r="KS23" s="358">
        <f t="shared" si="42"/>
        <v>27409.657360155616</v>
      </c>
      <c r="KT23" s="358">
        <f t="shared" si="16"/>
        <v>23993455</v>
      </c>
      <c r="KU23" s="358">
        <f t="shared" si="43"/>
        <v>24247585.674196433</v>
      </c>
      <c r="KV23" s="358">
        <f t="shared" si="17"/>
        <v>10106699</v>
      </c>
      <c r="KW23" s="358">
        <f t="shared" si="18"/>
        <v>13310657.182802876</v>
      </c>
      <c r="KX23" s="358">
        <f t="shared" si="44"/>
        <v>225000</v>
      </c>
      <c r="KY23" s="358">
        <f t="shared" si="45"/>
        <v>481070.12565361342</v>
      </c>
      <c r="KZ23" s="358">
        <f t="shared" si="46"/>
        <v>10360514.816999746</v>
      </c>
      <c r="LA23" s="358">
        <f t="shared" si="46"/>
        <v>13819136.965816645</v>
      </c>
      <c r="LB23" s="326"/>
      <c r="LC23" s="323"/>
      <c r="LD23" s="322"/>
      <c r="LE23" s="374">
        <f t="shared" si="71"/>
        <v>18</v>
      </c>
      <c r="LF23" s="375">
        <v>17</v>
      </c>
      <c r="LG23" s="376">
        <f t="shared" si="72"/>
        <v>1</v>
      </c>
      <c r="LH23" s="376">
        <f t="shared" si="72"/>
        <v>1.0433412409232377</v>
      </c>
      <c r="LI23" s="377">
        <v>106.45762205358784</v>
      </c>
      <c r="LJ23" s="290">
        <f t="shared" si="73"/>
        <v>2825933.2256918317</v>
      </c>
      <c r="LK23" s="377">
        <v>106.45762205358784</v>
      </c>
      <c r="LL23" s="290">
        <f t="shared" si="47"/>
        <v>129224.43815939523</v>
      </c>
      <c r="LM23" s="377">
        <v>106.45762205358784</v>
      </c>
      <c r="LN23" s="290">
        <f t="shared" si="48"/>
        <v>1397890.1645183493</v>
      </c>
      <c r="LO23" s="377">
        <v>118.614283549666</v>
      </c>
      <c r="LP23" s="290">
        <f t="shared" si="74"/>
        <v>1961386.7649846177</v>
      </c>
      <c r="LQ23" s="377">
        <v>119.48337591187899</v>
      </c>
      <c r="LR23" s="290">
        <f t="shared" si="49"/>
        <v>133352.09741604378</v>
      </c>
      <c r="LS23" s="377">
        <v>157.07111615098</v>
      </c>
      <c r="LT23" s="290">
        <f t="shared" si="50"/>
        <v>63486.531673766483</v>
      </c>
      <c r="LU23" s="377">
        <v>112.15574935818501</v>
      </c>
      <c r="LV23" s="290">
        <f t="shared" si="51"/>
        <v>237435.0766356138</v>
      </c>
      <c r="LW23" s="377">
        <v>116.939890710382</v>
      </c>
      <c r="LX23" s="378">
        <f t="shared" si="52"/>
        <v>866588.92820335086</v>
      </c>
      <c r="LY23" s="379">
        <f t="shared" si="53"/>
        <v>7873132.7915930171</v>
      </c>
      <c r="LZ23" s="379">
        <f t="shared" si="75"/>
        <v>7615297.2272829702</v>
      </c>
      <c r="MA23" s="103"/>
      <c r="MB23" s="335"/>
      <c r="MD23" s="338">
        <v>18</v>
      </c>
      <c r="ME23" s="380">
        <v>18</v>
      </c>
      <c r="MF23" s="20">
        <f t="shared" si="19"/>
        <v>10643155.444500001</v>
      </c>
      <c r="MG23" s="20">
        <f t="shared" si="19"/>
        <v>10360514.816999746</v>
      </c>
      <c r="MH23" s="343">
        <f t="shared" si="20"/>
        <v>13819136.965816645</v>
      </c>
      <c r="MI23" s="20">
        <f t="shared" si="21"/>
        <v>9150295.6754496563</v>
      </c>
      <c r="MJ23" s="20">
        <f t="shared" si="21"/>
        <v>9154549.5910226032</v>
      </c>
      <c r="MK23" s="343">
        <f t="shared" si="54"/>
        <v>8707824.1640236229</v>
      </c>
      <c r="ML23" s="20">
        <f t="shared" si="55"/>
        <v>1492859.7690503448</v>
      </c>
      <c r="MM23" s="20">
        <f t="shared" si="55"/>
        <v>1205965.2259771433</v>
      </c>
      <c r="MN23" s="20">
        <f t="shared" si="55"/>
        <v>5111312.8017930221</v>
      </c>
      <c r="MX23" s="283">
        <f>MX22+1</f>
        <v>17</v>
      </c>
      <c r="MY23" s="285" t="s">
        <v>250</v>
      </c>
      <c r="MZ23" s="28">
        <v>18998322.143907189</v>
      </c>
      <c r="NA23" s="509">
        <f>MZ23/$MZ$34*100</f>
        <v>0.8619719284444084</v>
      </c>
      <c r="NB23" s="285"/>
      <c r="NC23" s="539">
        <v>18998322.143907189</v>
      </c>
      <c r="ND23" s="509">
        <f>NC23/$ND$34*100</f>
        <v>0.8619719284444084</v>
      </c>
      <c r="NH23" s="283">
        <f>NH22+1</f>
        <v>17</v>
      </c>
      <c r="NI23" s="285" t="str">
        <f>MY23</f>
        <v>Total Return</v>
      </c>
      <c r="NJ23" s="28">
        <v>20413939.926346004</v>
      </c>
      <c r="NK23" s="28">
        <f>MZ23</f>
        <v>18998322.143907189</v>
      </c>
      <c r="NL23" s="28">
        <f t="shared" si="77"/>
        <v>-1415617.7824388146</v>
      </c>
      <c r="NM23" s="395">
        <f>NL23/NJ23</f>
        <v>-6.9345642612175712E-2</v>
      </c>
    </row>
    <row r="24" spans="2:377" x14ac:dyDescent="0.3">
      <c r="B24" s="540">
        <f>B22+1</f>
        <v>18</v>
      </c>
      <c r="C24" s="541" t="s">
        <v>244</v>
      </c>
      <c r="D24" s="541"/>
      <c r="E24" s="542"/>
      <c r="F24" s="963">
        <f>HN6</f>
        <v>2078388796</v>
      </c>
      <c r="G24" s="964"/>
      <c r="H24" s="963">
        <f>HR6</f>
        <v>2083394612.0181818</v>
      </c>
      <c r="I24" s="965"/>
      <c r="J24" s="964"/>
      <c r="K24" s="963">
        <f>IB26</f>
        <v>2112495296</v>
      </c>
      <c r="L24" s="965"/>
      <c r="M24" s="964"/>
      <c r="N24" s="963">
        <f>KF26</f>
        <v>2204053463.5731421</v>
      </c>
      <c r="O24" s="965"/>
      <c r="P24" s="964"/>
      <c r="Q24" s="902">
        <f t="shared" ref="Q24" si="125">N24-F24</f>
        <v>125664667.57314205</v>
      </c>
      <c r="R24" s="543">
        <f>N24/F24-1</f>
        <v>6.0462540894654637E-2</v>
      </c>
      <c r="AL24" s="464"/>
      <c r="DX24" s="493"/>
      <c r="DY24" s="280"/>
      <c r="FG24" s="483">
        <f t="shared" si="84"/>
        <v>19</v>
      </c>
      <c r="FH24" s="495"/>
      <c r="FI24" s="496" t="s">
        <v>239</v>
      </c>
      <c r="FJ24" s="28">
        <f>SUM(FJ22:FJ23)</f>
        <v>184867.98630000005</v>
      </c>
      <c r="FK24" s="28">
        <f>SUM(FK22:FK23)</f>
        <v>406029.23860000004</v>
      </c>
      <c r="FL24" s="28">
        <f>SUM(FL22:FL23)</f>
        <v>587754.08510000003</v>
      </c>
      <c r="FM24" s="497">
        <f>FJ24+FL24+FK24</f>
        <v>1178651.31</v>
      </c>
      <c r="FN24" s="28">
        <v>186722.60478181817</v>
      </c>
      <c r="FO24" s="28">
        <v>404621.59053000004</v>
      </c>
      <c r="FP24" s="28">
        <v>584954.08509999991</v>
      </c>
      <c r="FQ24" s="28">
        <v>1176298.2804118181</v>
      </c>
      <c r="FR24" s="28">
        <v>1176298.2804118181</v>
      </c>
      <c r="FS24" s="103"/>
      <c r="FT24" s="408"/>
      <c r="HW24" s="283">
        <v>19</v>
      </c>
      <c r="HX24" s="306">
        <v>19</v>
      </c>
      <c r="HY24" s="306">
        <v>10</v>
      </c>
      <c r="HZ24" s="306">
        <v>10</v>
      </c>
      <c r="IA24" s="307">
        <v>249773354</v>
      </c>
      <c r="IB24" s="307">
        <v>247985580</v>
      </c>
      <c r="IC24" s="309">
        <f t="shared" si="5"/>
        <v>1</v>
      </c>
      <c r="ID24" s="309">
        <f t="shared" si="6"/>
        <v>0.99284241504800386</v>
      </c>
      <c r="IE24" s="310">
        <v>0</v>
      </c>
      <c r="IF24" s="310">
        <v>0.1</v>
      </c>
      <c r="IG24" s="310">
        <v>0.9</v>
      </c>
      <c r="IK24" s="410">
        <v>19</v>
      </c>
      <c r="IL24" s="317">
        <v>19</v>
      </c>
      <c r="IM24" s="313">
        <f t="shared" si="7"/>
        <v>0.99284241504800386</v>
      </c>
      <c r="IN24" s="17">
        <v>15679.92</v>
      </c>
      <c r="IO24" s="290">
        <f t="shared" si="29"/>
        <v>15567.689640559496</v>
      </c>
      <c r="IP24" s="17">
        <v>26667177</v>
      </c>
      <c r="IQ24" s="290">
        <v>27520572</v>
      </c>
      <c r="IR24" s="17">
        <v>11438357.851000002</v>
      </c>
      <c r="IS24" s="290">
        <v>11555915</v>
      </c>
      <c r="IT24" s="17">
        <v>225000</v>
      </c>
      <c r="IU24" s="17">
        <v>225000</v>
      </c>
      <c r="IV24" s="17">
        <f t="shared" si="30"/>
        <v>11679037.771000002</v>
      </c>
      <c r="IW24" s="17">
        <f t="shared" si="30"/>
        <v>11796482.689640559</v>
      </c>
      <c r="IX24" s="314"/>
      <c r="IY24" s="315"/>
      <c r="IZ24" s="314"/>
      <c r="JA24" s="316">
        <v>19</v>
      </c>
      <c r="JB24" s="317">
        <v>19</v>
      </c>
      <c r="JC24" s="318">
        <f t="shared" si="8"/>
        <v>1</v>
      </c>
      <c r="JD24" s="319">
        <f t="shared" si="8"/>
        <v>0.99284241504800386</v>
      </c>
      <c r="JE24" s="17">
        <v>4734511.2557995431</v>
      </c>
      <c r="JF24" s="290">
        <f t="shared" si="70"/>
        <v>4700623.5892799757</v>
      </c>
      <c r="JG24" s="17">
        <v>230037.61</v>
      </c>
      <c r="JH24" s="290">
        <f t="shared" si="31"/>
        <v>228391.09626427083</v>
      </c>
      <c r="JI24" s="17">
        <v>1633641.354200457</v>
      </c>
      <c r="JJ24" s="290">
        <f t="shared" si="32"/>
        <v>1633641.354200457</v>
      </c>
      <c r="JK24" s="17">
        <v>2197514.8582347659</v>
      </c>
      <c r="JL24" s="290">
        <v>2197514.8582347659</v>
      </c>
      <c r="JM24" s="17">
        <v>105638.49200000003</v>
      </c>
      <c r="JN24" s="290">
        <f t="shared" si="33"/>
        <v>104882.37551930927</v>
      </c>
      <c r="JO24" s="17">
        <v>97911.6</v>
      </c>
      <c r="JP24" s="290">
        <f t="shared" si="34"/>
        <v>97210.789405214135</v>
      </c>
      <c r="JQ24" s="17">
        <v>945705.48</v>
      </c>
      <c r="JR24" s="290">
        <f t="shared" si="35"/>
        <v>938936.51268733165</v>
      </c>
      <c r="JS24" s="17">
        <v>1285143.97</v>
      </c>
      <c r="JT24" s="290">
        <f t="shared" si="36"/>
        <v>1275945.4428591793</v>
      </c>
      <c r="JU24" s="17">
        <f t="shared" si="37"/>
        <v>11230104.620234767</v>
      </c>
      <c r="JV24" s="17">
        <f t="shared" si="37"/>
        <v>11177146.018450504</v>
      </c>
      <c r="JW24" s="320">
        <f t="shared" si="9"/>
        <v>4.5071757875802714</v>
      </c>
      <c r="KA24" s="283">
        <v>19</v>
      </c>
      <c r="KB24" s="306">
        <v>19</v>
      </c>
      <c r="KC24" s="97">
        <f t="shared" si="10"/>
        <v>10</v>
      </c>
      <c r="KD24" s="390">
        <f t="shared" si="124"/>
        <v>10</v>
      </c>
      <c r="KE24" s="289">
        <f t="shared" si="12"/>
        <v>247985580</v>
      </c>
      <c r="KF24" s="289">
        <f t="shared" si="13"/>
        <v>258733582.76826882</v>
      </c>
      <c r="KG24" s="321">
        <f t="shared" si="38"/>
        <v>1</v>
      </c>
      <c r="KH24" s="321">
        <f t="shared" si="39"/>
        <v>1.0433412409232377</v>
      </c>
      <c r="KI24" s="321">
        <f t="shared" si="40"/>
        <v>0.97526029048727481</v>
      </c>
      <c r="KJ24" s="306" t="s">
        <v>256</v>
      </c>
      <c r="KK24" s="322"/>
      <c r="KL24" s="323"/>
      <c r="KM24" s="322"/>
      <c r="KN24" s="283">
        <v>19</v>
      </c>
      <c r="KO24" s="306">
        <v>19</v>
      </c>
      <c r="KP24" s="324" t="str">
        <f t="shared" si="14"/>
        <v>Q3</v>
      </c>
      <c r="KQ24" s="325">
        <f t="shared" si="15"/>
        <v>0.97526029048727481</v>
      </c>
      <c r="KR24" s="17">
        <f t="shared" si="41"/>
        <v>15567.689640559496</v>
      </c>
      <c r="KS24" s="17">
        <f t="shared" si="42"/>
        <v>15182.549521067793</v>
      </c>
      <c r="KT24" s="17">
        <f t="shared" si="16"/>
        <v>27520572</v>
      </c>
      <c r="KU24" s="17">
        <f t="shared" si="43"/>
        <v>28157878.493289176</v>
      </c>
      <c r="KV24" s="17">
        <f t="shared" si="17"/>
        <v>11555915</v>
      </c>
      <c r="KW24" s="17">
        <f t="shared" si="18"/>
        <v>15457203.560601963</v>
      </c>
      <c r="KX24" s="17">
        <f t="shared" si="44"/>
        <v>225000</v>
      </c>
      <c r="KY24" s="17">
        <f t="shared" si="45"/>
        <v>558650.01682707598</v>
      </c>
      <c r="KZ24" s="17">
        <f t="shared" si="46"/>
        <v>11796482.689640559</v>
      </c>
      <c r="LA24" s="17">
        <f t="shared" si="46"/>
        <v>16031036.126950108</v>
      </c>
      <c r="LB24" s="326"/>
      <c r="LC24" s="323"/>
      <c r="LD24" s="322"/>
      <c r="LE24" s="364">
        <f t="shared" si="71"/>
        <v>19</v>
      </c>
      <c r="LF24" s="365">
        <v>18</v>
      </c>
      <c r="LG24" s="411">
        <f t="shared" si="72"/>
        <v>1</v>
      </c>
      <c r="LH24" s="411">
        <f t="shared" si="72"/>
        <v>1.0433412409232377</v>
      </c>
      <c r="LI24" s="412">
        <v>113.92083696213525</v>
      </c>
      <c r="LJ24" s="343">
        <f t="shared" si="73"/>
        <v>2896759.4862560513</v>
      </c>
      <c r="LK24" s="412">
        <v>113.92083696213525</v>
      </c>
      <c r="LL24" s="343">
        <f t="shared" si="47"/>
        <v>271941.23023845942</v>
      </c>
      <c r="LM24" s="412">
        <v>113.92083696213525</v>
      </c>
      <c r="LN24" s="343">
        <f t="shared" si="48"/>
        <v>1118016.600411206</v>
      </c>
      <c r="LO24" s="412">
        <v>118.41952153062</v>
      </c>
      <c r="LP24" s="343">
        <f t="shared" si="74"/>
        <v>2128530.1231251913</v>
      </c>
      <c r="LQ24" s="412">
        <v>118.887537452888</v>
      </c>
      <c r="LR24" s="343">
        <f t="shared" si="49"/>
        <v>195404.73780826383</v>
      </c>
      <c r="LS24" s="412">
        <v>168.49721907230401</v>
      </c>
      <c r="LT24" s="343">
        <f t="shared" si="50"/>
        <v>82634.867895331132</v>
      </c>
      <c r="LU24" s="412">
        <v>107.679074448752</v>
      </c>
      <c r="LV24" s="343">
        <f t="shared" si="51"/>
        <v>716191.92853882513</v>
      </c>
      <c r="LW24" s="412">
        <v>115.99271402550001</v>
      </c>
      <c r="LX24" s="343">
        <f t="shared" si="52"/>
        <v>1298345.1897502947</v>
      </c>
      <c r="LY24" s="20">
        <f t="shared" si="53"/>
        <v>9154549.5910226032</v>
      </c>
      <c r="LZ24" s="20">
        <f t="shared" si="75"/>
        <v>8707824.1640236229</v>
      </c>
      <c r="MA24" s="103"/>
      <c r="MB24" s="335"/>
      <c r="MD24" s="283">
        <v>19</v>
      </c>
      <c r="ME24" s="336">
        <v>19</v>
      </c>
      <c r="MF24" s="17">
        <f t="shared" si="19"/>
        <v>11679037.771000002</v>
      </c>
      <c r="MG24" s="17">
        <f t="shared" si="19"/>
        <v>11796482.689640559</v>
      </c>
      <c r="MH24" s="290">
        <f t="shared" si="20"/>
        <v>16031036.126950108</v>
      </c>
      <c r="MI24" s="17">
        <f t="shared" si="21"/>
        <v>11230104.620234767</v>
      </c>
      <c r="MJ24" s="17">
        <f t="shared" si="21"/>
        <v>11177146.018450504</v>
      </c>
      <c r="MK24" s="290">
        <f t="shared" si="54"/>
        <v>10900626.672772726</v>
      </c>
      <c r="ML24" s="17">
        <f t="shared" si="55"/>
        <v>448933.1507652346</v>
      </c>
      <c r="MM24" s="17">
        <f t="shared" si="55"/>
        <v>619336.67119005509</v>
      </c>
      <c r="MN24" s="17">
        <f t="shared" si="55"/>
        <v>5130409.4541773815</v>
      </c>
      <c r="MX24" s="446">
        <f t="shared" si="85"/>
        <v>18</v>
      </c>
      <c r="MY24" s="418" t="s">
        <v>251</v>
      </c>
      <c r="MZ24" s="544">
        <f>1-(MZ8+MZ21)/(MZ8+MZ21+MZ23)</f>
        <v>5.3779046457997803E-2</v>
      </c>
      <c r="NA24" s="472"/>
      <c r="NB24" s="453"/>
      <c r="NC24" s="545">
        <f>1-(NC8+NC21)/(NC8+NC21+NC23)</f>
        <v>5.3779046457997803E-2</v>
      </c>
      <c r="ND24" s="472"/>
      <c r="NH24" s="446">
        <f t="shared" si="86"/>
        <v>18</v>
      </c>
      <c r="NI24" s="546" t="str">
        <f>MY24</f>
        <v>Pre-Tax Return</v>
      </c>
      <c r="NJ24" s="29">
        <v>5.3900000000000059E-2</v>
      </c>
      <c r="NK24" s="547">
        <f>MZ24</f>
        <v>5.3779046457997803E-2</v>
      </c>
      <c r="NL24" s="547">
        <f t="shared" si="77"/>
        <v>-1.2095354200225561E-4</v>
      </c>
      <c r="NM24" s="548">
        <f t="shared" si="78"/>
        <v>-2.2440360297264466E-3</v>
      </c>
    </row>
    <row r="25" spans="2:377" ht="17.25" thickBot="1" x14ac:dyDescent="0.35">
      <c r="B25" s="549">
        <f>B24+1</f>
        <v>19</v>
      </c>
      <c r="C25" s="550" t="s">
        <v>252</v>
      </c>
      <c r="D25" s="550"/>
      <c r="E25" s="551"/>
      <c r="F25" s="955">
        <f>HY26</f>
        <v>205</v>
      </c>
      <c r="G25" s="956"/>
      <c r="H25" s="955">
        <f>HY26</f>
        <v>205</v>
      </c>
      <c r="I25" s="957"/>
      <c r="J25" s="956"/>
      <c r="K25" s="955">
        <f>KC26</f>
        <v>221</v>
      </c>
      <c r="L25" s="957"/>
      <c r="M25" s="956"/>
      <c r="N25" s="955">
        <f>KD26</f>
        <v>221</v>
      </c>
      <c r="O25" s="957"/>
      <c r="P25" s="956"/>
      <c r="Q25" s="900">
        <f>N25-F25</f>
        <v>16</v>
      </c>
      <c r="R25" s="552">
        <f>N25/F25-1</f>
        <v>7.8048780487804947E-2</v>
      </c>
      <c r="AL25" s="464"/>
      <c r="DX25" s="475"/>
      <c r="FG25" s="338">
        <f t="shared" si="84"/>
        <v>20</v>
      </c>
      <c r="FH25" s="474" t="s">
        <v>253</v>
      </c>
      <c r="FI25" s="476"/>
      <c r="FJ25" s="507"/>
      <c r="FK25" s="507"/>
      <c r="FL25" s="507"/>
      <c r="FM25" s="508"/>
      <c r="FN25" s="507"/>
      <c r="FO25" s="507"/>
      <c r="FP25" s="507"/>
      <c r="FQ25" s="507"/>
      <c r="FR25" s="507"/>
      <c r="FS25" s="103"/>
      <c r="FT25" s="408"/>
      <c r="HW25" s="456">
        <v>20</v>
      </c>
      <c r="HX25" s="553">
        <v>20</v>
      </c>
      <c r="HY25" s="553">
        <v>11</v>
      </c>
      <c r="HZ25" s="553">
        <v>11</v>
      </c>
      <c r="IA25" s="554">
        <v>373317692</v>
      </c>
      <c r="IB25" s="554">
        <v>369485441</v>
      </c>
      <c r="IC25" s="555">
        <f t="shared" si="5"/>
        <v>1</v>
      </c>
      <c r="ID25" s="555">
        <f t="shared" si="6"/>
        <v>0.98973461188118561</v>
      </c>
      <c r="IE25" s="556">
        <v>0</v>
      </c>
      <c r="IF25" s="556">
        <v>0</v>
      </c>
      <c r="IG25" s="556">
        <v>1</v>
      </c>
      <c r="IK25" s="557">
        <v>20</v>
      </c>
      <c r="IL25" s="558">
        <v>20</v>
      </c>
      <c r="IM25" s="559">
        <f t="shared" si="7"/>
        <v>0.98973461188118561</v>
      </c>
      <c r="IN25" s="458">
        <v>66979.06</v>
      </c>
      <c r="IO25" s="560">
        <f t="shared" si="29"/>
        <v>66291.493953266647</v>
      </c>
      <c r="IP25" s="458">
        <v>41579002</v>
      </c>
      <c r="IQ25" s="560">
        <v>37694016</v>
      </c>
      <c r="IR25" s="458">
        <v>17884950.9947</v>
      </c>
      <c r="IS25" s="560">
        <v>15085757</v>
      </c>
      <c r="IT25" s="458">
        <v>247500</v>
      </c>
      <c r="IU25" s="458">
        <v>247500</v>
      </c>
      <c r="IV25" s="458">
        <f t="shared" si="30"/>
        <v>18199430.054699998</v>
      </c>
      <c r="IW25" s="458">
        <f t="shared" si="30"/>
        <v>15399548.493953267</v>
      </c>
      <c r="IX25" s="314"/>
      <c r="IY25" s="315"/>
      <c r="IZ25" s="314"/>
      <c r="JA25" s="561">
        <v>20</v>
      </c>
      <c r="JB25" s="558">
        <v>20</v>
      </c>
      <c r="JC25" s="562">
        <f t="shared" si="8"/>
        <v>1</v>
      </c>
      <c r="JD25" s="563">
        <f t="shared" si="8"/>
        <v>0.98973461188118561</v>
      </c>
      <c r="JE25" s="458">
        <v>6270559.2375621554</v>
      </c>
      <c r="JF25" s="560">
        <f t="shared" si="70"/>
        <v>6206189.5132665634</v>
      </c>
      <c r="JG25" s="458">
        <v>329079.75049999997</v>
      </c>
      <c r="JH25" s="560">
        <f t="shared" si="31"/>
        <v>325701.61913907487</v>
      </c>
      <c r="JI25" s="458">
        <v>2349281.2134378431</v>
      </c>
      <c r="JJ25" s="560">
        <f t="shared" si="32"/>
        <v>2349281.2134378431</v>
      </c>
      <c r="JK25" s="458">
        <v>2518575.8474006681</v>
      </c>
      <c r="JL25" s="560">
        <v>2518575.8474006681</v>
      </c>
      <c r="JM25" s="458">
        <v>434017.47450000001</v>
      </c>
      <c r="JN25" s="560">
        <f>JM25*$ID25</f>
        <v>429562.11667390988</v>
      </c>
      <c r="JO25" s="458">
        <v>127293.87549999999</v>
      </c>
      <c r="JP25" s="560">
        <f t="shared" si="34"/>
        <v>125987.15446284445</v>
      </c>
      <c r="JQ25" s="458">
        <v>929248.59000000008</v>
      </c>
      <c r="JR25" s="560">
        <f t="shared" si="35"/>
        <v>919709.49256478902</v>
      </c>
      <c r="JS25" s="458">
        <v>1309487.1400000001</v>
      </c>
      <c r="JT25" s="560">
        <f t="shared" si="36"/>
        <v>1296044.7462713039</v>
      </c>
      <c r="JU25" s="458">
        <f t="shared" si="37"/>
        <v>14267543.128900668</v>
      </c>
      <c r="JV25" s="458">
        <f t="shared" si="37"/>
        <v>14171051.703217</v>
      </c>
      <c r="JW25" s="564">
        <f t="shared" si="9"/>
        <v>3.8353477920167904</v>
      </c>
      <c r="KA25" s="456">
        <v>20</v>
      </c>
      <c r="KB25" s="553">
        <v>20</v>
      </c>
      <c r="KC25" s="565">
        <f t="shared" si="10"/>
        <v>11</v>
      </c>
      <c r="KD25" s="566">
        <f t="shared" si="124"/>
        <v>11</v>
      </c>
      <c r="KE25" s="567">
        <f t="shared" si="12"/>
        <v>369485441</v>
      </c>
      <c r="KF25" s="567">
        <f t="shared" si="13"/>
        <v>385499398.51600969</v>
      </c>
      <c r="KG25" s="568">
        <f t="shared" si="38"/>
        <v>1</v>
      </c>
      <c r="KH25" s="568">
        <f t="shared" si="39"/>
        <v>1.0433412409232377</v>
      </c>
      <c r="KI25" s="568">
        <f t="shared" si="40"/>
        <v>0.9685197213402239</v>
      </c>
      <c r="KJ25" s="553" t="s">
        <v>256</v>
      </c>
      <c r="KK25" s="322"/>
      <c r="KL25" s="323"/>
      <c r="KM25" s="322"/>
      <c r="KN25" s="456">
        <v>20</v>
      </c>
      <c r="KO25" s="553">
        <v>20</v>
      </c>
      <c r="KP25" s="569" t="str">
        <f t="shared" si="14"/>
        <v>Q3</v>
      </c>
      <c r="KQ25" s="570">
        <f t="shared" si="15"/>
        <v>0.9685197213402239</v>
      </c>
      <c r="KR25" s="571">
        <f t="shared" si="41"/>
        <v>66291.493953266647</v>
      </c>
      <c r="KS25" s="571">
        <f t="shared" si="42"/>
        <v>64204.619250844953</v>
      </c>
      <c r="KT25" s="571">
        <f t="shared" si="16"/>
        <v>37694016</v>
      </c>
      <c r="KU25" s="571">
        <f t="shared" si="43"/>
        <v>41953754.539749309</v>
      </c>
      <c r="KV25" s="571">
        <f t="shared" si="17"/>
        <v>15085757</v>
      </c>
      <c r="KW25" s="571">
        <f t="shared" si="18"/>
        <v>23030418.438909981</v>
      </c>
      <c r="KX25" s="571">
        <f t="shared" si="44"/>
        <v>247500</v>
      </c>
      <c r="KY25" s="571">
        <f t="shared" si="45"/>
        <v>832359.07439460629</v>
      </c>
      <c r="KZ25" s="571">
        <f t="shared" si="46"/>
        <v>15399548.493953267</v>
      </c>
      <c r="LA25" s="571">
        <f t="shared" si="46"/>
        <v>23926982.132555433</v>
      </c>
      <c r="LB25" s="326"/>
      <c r="LC25" s="323"/>
      <c r="LD25" s="322"/>
      <c r="LE25" s="374">
        <f t="shared" si="71"/>
        <v>20</v>
      </c>
      <c r="LF25" s="375">
        <v>19</v>
      </c>
      <c r="LG25" s="376">
        <f t="shared" si="72"/>
        <v>1</v>
      </c>
      <c r="LH25" s="376">
        <f t="shared" si="72"/>
        <v>1.0433412409232377</v>
      </c>
      <c r="LI25" s="377">
        <v>106.45762205358784</v>
      </c>
      <c r="LJ25" s="290">
        <f t="shared" si="73"/>
        <v>4325699.0221466925</v>
      </c>
      <c r="LK25" s="377">
        <v>106.45762205358784</v>
      </c>
      <c r="LL25" s="290">
        <f t="shared" si="47"/>
        <v>210174.48494077317</v>
      </c>
      <c r="LM25" s="377">
        <v>106.45762205358784</v>
      </c>
      <c r="LN25" s="290">
        <f t="shared" si="48"/>
        <v>1440891.1269047759</v>
      </c>
      <c r="LO25" s="377">
        <v>118.614283549666</v>
      </c>
      <c r="LP25" s="290">
        <f t="shared" si="74"/>
        <v>2298651.595409513</v>
      </c>
      <c r="LQ25" s="377">
        <v>119.48337591187899</v>
      </c>
      <c r="LR25" s="290">
        <f t="shared" si="49"/>
        <v>114405.84935106437</v>
      </c>
      <c r="LS25" s="377">
        <v>157.07111615098</v>
      </c>
      <c r="LT25" s="290">
        <f t="shared" si="50"/>
        <v>92218.205924985537</v>
      </c>
      <c r="LU25" s="377">
        <v>112.15574935818501</v>
      </c>
      <c r="LV25" s="290">
        <f t="shared" si="51"/>
        <v>1029870.8646453422</v>
      </c>
      <c r="LW25" s="377">
        <v>116.939890710382</v>
      </c>
      <c r="LX25" s="378">
        <f t="shared" si="52"/>
        <v>1388715.5234495788</v>
      </c>
      <c r="LY25" s="379">
        <f t="shared" si="53"/>
        <v>11177146.018450504</v>
      </c>
      <c r="LZ25" s="379">
        <f t="shared" si="75"/>
        <v>10900626.672772726</v>
      </c>
      <c r="MA25" s="103"/>
      <c r="MB25" s="335"/>
      <c r="MD25" s="338">
        <v>20</v>
      </c>
      <c r="ME25" s="380">
        <v>20</v>
      </c>
      <c r="MF25" s="20">
        <f t="shared" si="19"/>
        <v>18199430.054699998</v>
      </c>
      <c r="MG25" s="20">
        <f t="shared" si="19"/>
        <v>15399548.493953267</v>
      </c>
      <c r="MH25" s="343">
        <f t="shared" si="20"/>
        <v>23926982.132555433</v>
      </c>
      <c r="MI25" s="20">
        <f t="shared" si="21"/>
        <v>14267543.128900668</v>
      </c>
      <c r="MJ25" s="20">
        <f t="shared" si="21"/>
        <v>14171051.703217</v>
      </c>
      <c r="MK25" s="343">
        <f t="shared" si="54"/>
        <v>13724943.046697633</v>
      </c>
      <c r="ML25" s="20">
        <f t="shared" si="55"/>
        <v>3931886.9257993307</v>
      </c>
      <c r="MM25" s="20">
        <f t="shared" si="55"/>
        <v>1228496.7907362673</v>
      </c>
      <c r="MN25" s="20">
        <f t="shared" si="55"/>
        <v>10202039.085857799</v>
      </c>
      <c r="MX25" s="483">
        <f>MX24+1</f>
        <v>19</v>
      </c>
      <c r="MY25" s="572" t="s">
        <v>254</v>
      </c>
      <c r="MZ25" s="31">
        <f>MZ21+MZ23-MZ10</f>
        <v>113193456.58642493</v>
      </c>
      <c r="NA25" s="573">
        <f>MZ25/$MZ$34*100</f>
        <v>5.1356946851424956</v>
      </c>
      <c r="NB25" s="572"/>
      <c r="NC25" s="574">
        <f>NC21+NC23-NC10</f>
        <v>113193456.58642493</v>
      </c>
      <c r="ND25" s="573">
        <f>NC25/$ND$34*100</f>
        <v>5.1356946851424956</v>
      </c>
      <c r="NH25" s="483">
        <f>NH24+1</f>
        <v>19</v>
      </c>
      <c r="NI25" s="31" t="str">
        <f>MY25</f>
        <v>Revenue Requirement</v>
      </c>
      <c r="NJ25" s="31">
        <v>137621699.16939428</v>
      </c>
      <c r="NK25" s="31">
        <f>MZ25</f>
        <v>113193456.58642493</v>
      </c>
      <c r="NL25" s="31">
        <f t="shared" si="77"/>
        <v>-24428242.582969353</v>
      </c>
      <c r="NM25" s="575">
        <f t="shared" si="78"/>
        <v>-0.17750284097932395</v>
      </c>
    </row>
    <row r="26" spans="2:377" ht="17.25" thickBot="1" x14ac:dyDescent="0.35">
      <c r="AL26" s="464"/>
      <c r="AN26" s="576"/>
      <c r="AO26" s="577"/>
      <c r="AQ26" s="91"/>
      <c r="AS26" s="578"/>
      <c r="AT26" s="578"/>
      <c r="AU26" s="91"/>
      <c r="AV26" s="578"/>
      <c r="AW26" s="578"/>
      <c r="AX26" s="578"/>
      <c r="AY26" s="91"/>
      <c r="AZ26" s="578"/>
      <c r="BA26" s="578"/>
      <c r="BB26" s="578"/>
      <c r="BC26" s="91"/>
      <c r="BD26" s="578"/>
      <c r="BE26" s="578"/>
      <c r="BF26" s="578"/>
      <c r="BG26" s="91"/>
      <c r="BH26" s="578"/>
      <c r="BI26" s="578"/>
      <c r="BJ26" s="578"/>
      <c r="BK26" s="91"/>
      <c r="BL26" s="578"/>
      <c r="BM26" s="578"/>
      <c r="BN26" s="578"/>
      <c r="BO26" s="91"/>
      <c r="BP26" s="578"/>
      <c r="BQ26" s="578"/>
      <c r="BR26" s="578"/>
      <c r="BS26" s="91"/>
      <c r="BT26" s="578"/>
      <c r="BU26" s="578"/>
      <c r="BV26" s="578"/>
      <c r="BW26" s="578"/>
      <c r="BX26" s="578"/>
      <c r="BY26" s="578"/>
      <c r="BZ26" s="578"/>
      <c r="CA26" s="578"/>
      <c r="CB26" s="578"/>
      <c r="CC26" s="578"/>
      <c r="CD26" s="578"/>
      <c r="CE26" s="578"/>
      <c r="CF26" s="578"/>
      <c r="CG26" s="578"/>
      <c r="DX26" s="475"/>
      <c r="EC26" s="579"/>
      <c r="FG26" s="283">
        <f t="shared" si="84"/>
        <v>21</v>
      </c>
      <c r="FH26" s="406"/>
      <c r="FI26" s="407" t="s">
        <v>255</v>
      </c>
      <c r="FJ26" s="17">
        <v>1612.63</v>
      </c>
      <c r="FK26" s="17">
        <v>54550.04</v>
      </c>
      <c r="FL26" s="17">
        <v>0</v>
      </c>
      <c r="FM26" s="290">
        <f t="shared" ref="FM26:FM31" si="126">FJ26+FL26+FK26</f>
        <v>56162.67</v>
      </c>
      <c r="FN26" s="17">
        <v>1612.63</v>
      </c>
      <c r="FO26" s="17">
        <v>54550.04</v>
      </c>
      <c r="FP26" s="17">
        <v>0</v>
      </c>
      <c r="FQ26" s="17">
        <v>56162.67</v>
      </c>
      <c r="FR26" s="17">
        <v>56162.67</v>
      </c>
      <c r="FS26" s="103"/>
      <c r="FT26" s="408"/>
      <c r="HW26" s="467">
        <v>21</v>
      </c>
      <c r="HX26" s="580" t="s">
        <v>72</v>
      </c>
      <c r="HY26" s="580">
        <f>SUM(HY6:HY25)</f>
        <v>205</v>
      </c>
      <c r="HZ26" s="580">
        <f>SUM(HZ6:HZ25)</f>
        <v>221</v>
      </c>
      <c r="IA26" s="581">
        <f>SUM(IA6:IA25)</f>
        <v>2083394612.0181818</v>
      </c>
      <c r="IB26" s="581">
        <f>SUM(IB6:IB25)</f>
        <v>2112495296</v>
      </c>
      <c r="IC26" s="582">
        <f t="shared" si="5"/>
        <v>1.0780487804878049</v>
      </c>
      <c r="ID26" s="582">
        <f t="shared" si="6"/>
        <v>1.013967917462179</v>
      </c>
      <c r="IE26" s="581"/>
      <c r="IF26" s="581"/>
      <c r="IG26" s="581"/>
      <c r="IH26" s="280"/>
      <c r="IJ26" s="493"/>
      <c r="IK26" s="583">
        <v>21</v>
      </c>
      <c r="IL26" s="584" t="s">
        <v>72</v>
      </c>
      <c r="IM26" s="585">
        <f t="shared" si="7"/>
        <v>1.013967917462179</v>
      </c>
      <c r="IN26" s="31">
        <f t="shared" ref="IN26:IU26" si="127">SUM(IN6:IN25)</f>
        <v>215937.90000000002</v>
      </c>
      <c r="IO26" s="586">
        <f t="shared" si="127"/>
        <v>214148.01155062864</v>
      </c>
      <c r="IP26" s="31">
        <f t="shared" si="127"/>
        <v>229512596.2469697</v>
      </c>
      <c r="IQ26" s="586">
        <f t="shared" si="127"/>
        <v>229425276</v>
      </c>
      <c r="IR26" s="31">
        <f t="shared" si="127"/>
        <v>97659849.12220636</v>
      </c>
      <c r="IS26" s="586">
        <f t="shared" si="127"/>
        <v>94967116</v>
      </c>
      <c r="IT26" s="31">
        <f t="shared" si="127"/>
        <v>4550161.0413039103</v>
      </c>
      <c r="IU26" s="586">
        <f t="shared" si="127"/>
        <v>4747991.9641978256</v>
      </c>
      <c r="IV26" s="31">
        <f>SUM(IN26,IR26,IT26)</f>
        <v>102425948.06351027</v>
      </c>
      <c r="IW26" s="31">
        <f>SUM(IO26,IS26,IU26)</f>
        <v>99929255.975748464</v>
      </c>
      <c r="IX26" s="587"/>
      <c r="IY26" s="588"/>
      <c r="IZ26" s="587"/>
      <c r="JA26" s="316">
        <v>21</v>
      </c>
      <c r="JB26" s="589" t="s">
        <v>72</v>
      </c>
      <c r="JC26" s="590">
        <f>IC26</f>
        <v>1.0780487804878049</v>
      </c>
      <c r="JD26" s="591">
        <f t="shared" ref="JD26" si="128">ID26</f>
        <v>1.013967917462179</v>
      </c>
      <c r="JE26" s="592">
        <f t="shared" ref="JE26:JT26" si="129">SUM(JE6:JE25)</f>
        <v>36384668.568564296</v>
      </c>
      <c r="JF26" s="593">
        <f t="shared" si="129"/>
        <v>36992330.313946411</v>
      </c>
      <c r="JG26" s="592">
        <f t="shared" si="129"/>
        <v>2147299.9196500001</v>
      </c>
      <c r="JH26" s="593">
        <f t="shared" si="129"/>
        <v>2193064.0614437284</v>
      </c>
      <c r="JI26" s="592">
        <f t="shared" si="129"/>
        <v>17229598.204603888</v>
      </c>
      <c r="JJ26" s="593">
        <f t="shared" si="129"/>
        <v>17704130.732731506</v>
      </c>
      <c r="JK26" s="592">
        <f t="shared" si="129"/>
        <v>20963340.954979222</v>
      </c>
      <c r="JL26" s="593">
        <f t="shared" si="129"/>
        <v>21765718.436968524</v>
      </c>
      <c r="JM26" s="592">
        <f t="shared" si="129"/>
        <v>2093939.2539242425</v>
      </c>
      <c r="JN26" s="593">
        <f t="shared" si="129"/>
        <v>2144213.8135649599</v>
      </c>
      <c r="JO26" s="592">
        <f t="shared" si="129"/>
        <v>1282057.8355257579</v>
      </c>
      <c r="JP26" s="593">
        <f t="shared" si="129"/>
        <v>1322857.4076787899</v>
      </c>
      <c r="JQ26" s="592">
        <f t="shared" si="129"/>
        <v>4946746.7976090908</v>
      </c>
      <c r="JR26" s="593">
        <f t="shared" si="129"/>
        <v>4997847.5990450596</v>
      </c>
      <c r="JS26" s="592">
        <f t="shared" si="129"/>
        <v>9669260.545699697</v>
      </c>
      <c r="JT26" s="593">
        <f t="shared" si="129"/>
        <v>9826395.2532786801</v>
      </c>
      <c r="JU26" s="592">
        <f t="shared" si="37"/>
        <v>94716912.080556184</v>
      </c>
      <c r="JV26" s="592">
        <f>JF26+JH26+JJ26+JL26+JR26+JT26+JN26+JP26</f>
        <v>96946557.618657649</v>
      </c>
      <c r="JW26" s="594">
        <f t="shared" si="9"/>
        <v>4.5891963784357532</v>
      </c>
      <c r="JX26" s="280"/>
      <c r="JY26" s="595"/>
      <c r="KA26" s="467">
        <v>21</v>
      </c>
      <c r="KB26" s="580" t="s">
        <v>72</v>
      </c>
      <c r="KC26" s="526">
        <f>SUM(KC6:KC25)</f>
        <v>221</v>
      </c>
      <c r="KD26" s="526">
        <f>SUM(KD6:KD25)</f>
        <v>221</v>
      </c>
      <c r="KE26" s="596">
        <f>SUM(KE6:KE25)</f>
        <v>2112495296</v>
      </c>
      <c r="KF26" s="596">
        <f>'DCA 8 month Phase II'!M28</f>
        <v>2204053463.5731421</v>
      </c>
      <c r="KG26" s="597">
        <f t="shared" si="38"/>
        <v>1</v>
      </c>
      <c r="KH26" s="597">
        <f t="shared" si="39"/>
        <v>1.0433412409232377</v>
      </c>
      <c r="KI26" s="597">
        <f>LZ27/LY28</f>
        <v>0.97374906464726729</v>
      </c>
      <c r="KJ26" s="598" t="s">
        <v>256</v>
      </c>
      <c r="KK26" s="599"/>
      <c r="KL26" s="600"/>
      <c r="KM26" s="599"/>
      <c r="KN26" s="283">
        <v>21</v>
      </c>
      <c r="KO26" s="601" t="s">
        <v>72</v>
      </c>
      <c r="KP26" s="602" t="str">
        <f>KJ26</f>
        <v>Q3</v>
      </c>
      <c r="KQ26" s="603">
        <f t="shared" si="15"/>
        <v>0.97374906464726729</v>
      </c>
      <c r="KR26" s="28">
        <f>SUM(KR6:KR25)</f>
        <v>214148.01155062864</v>
      </c>
      <c r="KS26" s="28">
        <f>SUM(KS6:KS25)</f>
        <v>206485.35942255295</v>
      </c>
      <c r="KT26" s="28">
        <f t="shared" si="16"/>
        <v>229425276</v>
      </c>
      <c r="KU26" s="28">
        <v>239866309.41368827</v>
      </c>
      <c r="KV26" s="28">
        <f>SUM(KV6:KV25)</f>
        <v>94967116</v>
      </c>
      <c r="KW26" s="28">
        <v>131674066.73842122</v>
      </c>
      <c r="KX26" s="28">
        <f>SUM(KX6:KX25)</f>
        <v>4747991.9641978256</v>
      </c>
      <c r="KY26" s="28">
        <v>4758928.0499999989</v>
      </c>
      <c r="KZ26" s="28">
        <f>SUM(KR26,KV26,KX26)</f>
        <v>99929255.975748464</v>
      </c>
      <c r="LA26" s="28">
        <f>SUM(KS26,KW26,KY26)</f>
        <v>136639480.14784378</v>
      </c>
      <c r="LB26" s="599"/>
      <c r="LC26" s="600"/>
      <c r="LD26" s="599"/>
      <c r="LE26" s="364">
        <f t="shared" si="71"/>
        <v>21</v>
      </c>
      <c r="LF26" s="365">
        <v>20</v>
      </c>
      <c r="LG26" s="411">
        <f t="shared" si="72"/>
        <v>1</v>
      </c>
      <c r="LH26" s="411">
        <f t="shared" si="72"/>
        <v>1.0433412409232377</v>
      </c>
      <c r="LI26" s="412">
        <v>106.45762205358784</v>
      </c>
      <c r="LJ26" s="343">
        <f t="shared" si="73"/>
        <v>5711180.1017248482</v>
      </c>
      <c r="LK26" s="412">
        <v>106.45762205358784</v>
      </c>
      <c r="LL26" s="560">
        <f t="shared" si="47"/>
        <v>299723.46193269623</v>
      </c>
      <c r="LM26" s="412">
        <v>106.45762205358784</v>
      </c>
      <c r="LN26" s="343">
        <f t="shared" si="48"/>
        <v>2072094.0041967786</v>
      </c>
      <c r="LO26" s="412">
        <v>118.614283549666</v>
      </c>
      <c r="LP26" s="560">
        <f t="shared" si="74"/>
        <v>2634488.8491165428</v>
      </c>
      <c r="LQ26" s="412">
        <v>119.48337591187899</v>
      </c>
      <c r="LR26" s="560">
        <f t="shared" si="49"/>
        <v>468566.98815018724</v>
      </c>
      <c r="LS26" s="412">
        <v>157.07111615098</v>
      </c>
      <c r="LT26" s="560">
        <f t="shared" si="50"/>
        <v>119516.66502498719</v>
      </c>
      <c r="LU26" s="412">
        <v>112.15574935818501</v>
      </c>
      <c r="LV26" s="560">
        <f t="shared" si="51"/>
        <v>1008781.7413972933</v>
      </c>
      <c r="LW26" s="412">
        <v>116.939890710382</v>
      </c>
      <c r="LX26" s="343">
        <f t="shared" si="52"/>
        <v>1410591.2351543</v>
      </c>
      <c r="LY26" s="20">
        <f t="shared" si="53"/>
        <v>14171051.703217</v>
      </c>
      <c r="LZ26" s="20">
        <f t="shared" si="75"/>
        <v>13724943.046697633</v>
      </c>
      <c r="MA26" s="103"/>
      <c r="MD26" s="283">
        <v>21</v>
      </c>
      <c r="ME26" s="604" t="s">
        <v>72</v>
      </c>
      <c r="MF26" s="28">
        <f>SUM(MF6:MF25)</f>
        <v>102425948.06351028</v>
      </c>
      <c r="MG26" s="28">
        <f t="shared" ref="MG26:MK26" si="130">SUM(MG6:MG25)</f>
        <v>99929255.975748464</v>
      </c>
      <c r="MH26" s="497">
        <f t="shared" si="130"/>
        <v>136639480.14784378</v>
      </c>
      <c r="MI26" s="28">
        <f t="shared" si="130"/>
        <v>94716912.080556199</v>
      </c>
      <c r="MJ26" s="28">
        <f t="shared" si="130"/>
        <v>96946557.618657649</v>
      </c>
      <c r="MK26" s="497">
        <f t="shared" si="130"/>
        <v>94401619.801940277</v>
      </c>
      <c r="ML26" s="28">
        <f t="shared" si="55"/>
        <v>7709035.9829540849</v>
      </c>
      <c r="MM26" s="28">
        <f t="shared" si="55"/>
        <v>2982698.3570908159</v>
      </c>
      <c r="MN26" s="28">
        <f t="shared" si="55"/>
        <v>42237860.345903501</v>
      </c>
      <c r="MX26" s="338">
        <f>MX25+1</f>
        <v>20</v>
      </c>
      <c r="MY26" s="20" t="s">
        <v>257</v>
      </c>
      <c r="MZ26" s="20">
        <v>0</v>
      </c>
      <c r="NA26" s="414">
        <f>MZ26/$MZ$34*100</f>
        <v>0</v>
      </c>
      <c r="NB26" s="91"/>
      <c r="NC26" s="15">
        <f>MZ26</f>
        <v>0</v>
      </c>
      <c r="ND26" s="414">
        <f>NC26/$MZ$34*100</f>
        <v>0</v>
      </c>
      <c r="NH26" s="338">
        <f>NH25+1</f>
        <v>20</v>
      </c>
      <c r="NI26" s="20" t="s">
        <v>257</v>
      </c>
      <c r="NJ26" s="20">
        <v>0</v>
      </c>
      <c r="NK26" s="20">
        <f>MZ26</f>
        <v>0</v>
      </c>
      <c r="NL26" s="20">
        <f t="shared" si="77"/>
        <v>0</v>
      </c>
      <c r="NM26" s="352">
        <f>IFERROR(NL26/NJ26,0)</f>
        <v>0</v>
      </c>
    </row>
    <row r="27" spans="2:377" ht="17.25" thickBot="1" x14ac:dyDescent="0.35">
      <c r="G27" s="107"/>
      <c r="H27" s="107"/>
      <c r="I27" s="107"/>
      <c r="J27" s="107"/>
      <c r="K27" s="107"/>
      <c r="L27" s="107"/>
      <c r="O27" s="107"/>
      <c r="AL27" s="464"/>
      <c r="AN27" s="438"/>
      <c r="AS27" s="105"/>
      <c r="AT27" s="350"/>
      <c r="AV27" s="105"/>
      <c r="AW27" s="350"/>
      <c r="AX27" s="351"/>
      <c r="AZ27" s="105"/>
      <c r="BA27" s="350"/>
      <c r="BB27" s="351"/>
      <c r="BD27" s="105"/>
      <c r="BE27" s="350"/>
      <c r="BF27" s="351"/>
      <c r="BH27" s="105"/>
      <c r="BI27" s="350"/>
      <c r="BJ27" s="351"/>
      <c r="BL27" s="105"/>
      <c r="BM27" s="350"/>
      <c r="BN27" s="351"/>
      <c r="BP27" s="105"/>
      <c r="BQ27" s="350"/>
      <c r="BR27" s="351"/>
      <c r="BT27" s="105"/>
      <c r="BU27" s="350"/>
      <c r="BV27" s="351"/>
      <c r="BW27" s="351"/>
      <c r="BX27" s="351"/>
      <c r="BY27" s="351"/>
      <c r="BZ27" s="351"/>
      <c r="CA27" s="351"/>
      <c r="CB27" s="351"/>
      <c r="CC27" s="105"/>
      <c r="CE27" s="351"/>
      <c r="CF27" s="351"/>
      <c r="CG27" s="351"/>
      <c r="EA27" s="579"/>
      <c r="FG27" s="338">
        <f t="shared" si="84"/>
        <v>22</v>
      </c>
      <c r="FH27" s="360"/>
      <c r="FI27" s="361" t="s">
        <v>258</v>
      </c>
      <c r="FJ27" s="20">
        <v>0</v>
      </c>
      <c r="FK27" s="20">
        <v>0</v>
      </c>
      <c r="FL27" s="20">
        <v>8076.07</v>
      </c>
      <c r="FM27" s="343">
        <f t="shared" si="126"/>
        <v>8076.07</v>
      </c>
      <c r="FN27" s="20">
        <v>0</v>
      </c>
      <c r="FO27" s="20">
        <v>0</v>
      </c>
      <c r="FP27" s="20">
        <v>8076.07</v>
      </c>
      <c r="FQ27" s="20">
        <v>8076.07</v>
      </c>
      <c r="FR27" s="20">
        <v>8076.07</v>
      </c>
      <c r="FS27" s="103"/>
      <c r="FT27" s="408"/>
      <c r="HW27" s="605"/>
      <c r="IJ27" s="475"/>
      <c r="IK27" s="606">
        <v>22</v>
      </c>
      <c r="IL27" s="607" t="s">
        <v>259</v>
      </c>
      <c r="IM27" s="608"/>
      <c r="IN27" s="609"/>
      <c r="IO27" s="610">
        <f>IO26/IN26</f>
        <v>0.99171109634125654</v>
      </c>
      <c r="IP27" s="609"/>
      <c r="IQ27" s="610">
        <f>IQ26/IP26</f>
        <v>0.99961954050279778</v>
      </c>
      <c r="IR27" s="609"/>
      <c r="IS27" s="610">
        <f>IS26/IR26</f>
        <v>0.97242742901602464</v>
      </c>
      <c r="IT27" s="609"/>
      <c r="IU27" s="610">
        <f>IU26/IT26</f>
        <v>1.043477784873571</v>
      </c>
      <c r="IV27" s="609"/>
      <c r="IW27" s="611">
        <f>IW26/IV26</f>
        <v>0.97562441807994094</v>
      </c>
      <c r="IX27" s="612"/>
      <c r="IY27" s="613"/>
      <c r="IZ27" s="612"/>
      <c r="JA27" s="614">
        <v>22</v>
      </c>
      <c r="JB27" s="609" t="s">
        <v>259</v>
      </c>
      <c r="JC27" s="615"/>
      <c r="JD27" s="615"/>
      <c r="JE27" s="616"/>
      <c r="JF27" s="617">
        <f>JF26/JE26</f>
        <v>1.0167010383573241</v>
      </c>
      <c r="JG27" s="616"/>
      <c r="JH27" s="617">
        <f>JH26/JG26</f>
        <v>1.0213124125674944</v>
      </c>
      <c r="JI27" s="616"/>
      <c r="JJ27" s="617">
        <f>JJ26/JI26</f>
        <v>1.0275417059929359</v>
      </c>
      <c r="JK27" s="616"/>
      <c r="JL27" s="617">
        <f>JL26/JK26</f>
        <v>1.038275267463926</v>
      </c>
      <c r="JM27" s="618"/>
      <c r="JN27" s="617">
        <f>JN26/JM26</f>
        <v>1.0240095597551353</v>
      </c>
      <c r="JO27" s="618"/>
      <c r="JP27" s="617">
        <f>JP26/JO26</f>
        <v>1.0318235036068404</v>
      </c>
      <c r="JQ27" s="616"/>
      <c r="JR27" s="617">
        <f>JR26/JQ26</f>
        <v>1.0103301833561944</v>
      </c>
      <c r="JS27" s="616"/>
      <c r="JT27" s="617">
        <f>JT26/JS26</f>
        <v>1.0162509539210698</v>
      </c>
      <c r="JU27" s="618"/>
      <c r="JV27" s="619">
        <f>JV26/JU26</f>
        <v>1.0235400995358164</v>
      </c>
      <c r="JW27" s="619"/>
      <c r="JX27" s="351"/>
      <c r="JY27" s="464"/>
      <c r="KE27" s="350"/>
      <c r="KL27" s="620"/>
      <c r="KM27" s="621"/>
      <c r="KN27" s="549">
        <v>22</v>
      </c>
      <c r="KO27" s="622" t="s">
        <v>260</v>
      </c>
      <c r="KP27" s="622"/>
      <c r="KQ27" s="622"/>
      <c r="KR27" s="618"/>
      <c r="KS27" s="623">
        <f>KS26/KR26</f>
        <v>0.96421796274179228</v>
      </c>
      <c r="KT27" s="616"/>
      <c r="KU27" s="623">
        <f>KU26/KT26</f>
        <v>1.045509516630976</v>
      </c>
      <c r="KV27" s="616"/>
      <c r="KW27" s="623">
        <f>KW26/KV26</f>
        <v>1.386522748973668</v>
      </c>
      <c r="KX27" s="624"/>
      <c r="KY27" s="624">
        <f>KY26/KX26</f>
        <v>1.0023033075634156</v>
      </c>
      <c r="KZ27" s="616"/>
      <c r="LA27" s="624">
        <f>LA26/KZ26</f>
        <v>1.3673621284742119</v>
      </c>
      <c r="LB27" s="621"/>
      <c r="LC27" s="620"/>
      <c r="LD27" s="621"/>
      <c r="LE27" s="625">
        <f t="shared" si="71"/>
        <v>22</v>
      </c>
      <c r="LF27" s="626" t="s">
        <v>72</v>
      </c>
      <c r="LG27" s="627">
        <f t="shared" si="72"/>
        <v>1</v>
      </c>
      <c r="LH27" s="627">
        <f t="shared" si="72"/>
        <v>1.0433412409232377</v>
      </c>
      <c r="LI27" s="628"/>
      <c r="LJ27" s="629">
        <f>SUM(LJ7:LJ26)</f>
        <v>34063401.138201751</v>
      </c>
      <c r="LK27" s="630"/>
      <c r="LL27" s="631">
        <f>SUM(LL7:LL26)</f>
        <v>2040374.277113318</v>
      </c>
      <c r="LM27" s="632"/>
      <c r="LN27" s="629">
        <f>SUM(LN7:LN26)</f>
        <v>15711197.861928774</v>
      </c>
      <c r="LO27" s="633"/>
      <c r="LP27" s="631">
        <f>SUM(LP7:LP26)</f>
        <v>22755368.059679482</v>
      </c>
      <c r="LQ27" s="634"/>
      <c r="LR27" s="631">
        <f>SUM(LR7:LR26)</f>
        <v>2338642.5601871875</v>
      </c>
      <c r="LS27" s="634"/>
      <c r="LT27" s="631">
        <f>SUM(LT7:LT26)</f>
        <v>1257978.6308513894</v>
      </c>
      <c r="LU27" s="634"/>
      <c r="LV27" s="631">
        <f>SUM(LV7:LV26)</f>
        <v>5526452.0486161262</v>
      </c>
      <c r="LW27" s="634"/>
      <c r="LX27" s="629">
        <f>SUM(LX7:LX26)</f>
        <v>10708205.225362252</v>
      </c>
      <c r="LY27" s="631"/>
      <c r="LZ27" s="631">
        <f>LJ27+LL27+LN27+LP27+LV27+LX27+LR27+LT27</f>
        <v>94401619.801940292</v>
      </c>
      <c r="MA27" s="103"/>
      <c r="MB27" s="635"/>
      <c r="MD27" s="475"/>
      <c r="MF27" s="636" t="s">
        <v>261</v>
      </c>
      <c r="MG27" s="637"/>
      <c r="MH27" s="305"/>
      <c r="MI27" s="305"/>
      <c r="MJ27" s="305"/>
      <c r="MK27" s="305"/>
      <c r="ML27" s="305"/>
      <c r="MM27" s="305"/>
      <c r="MN27" s="305">
        <f>MN26-MM26</f>
        <v>39255161.988812685</v>
      </c>
      <c r="MX27" s="483">
        <f>MX26+1</f>
        <v>21</v>
      </c>
      <c r="MY27" s="32" t="s">
        <v>262</v>
      </c>
      <c r="MZ27" s="32">
        <v>0</v>
      </c>
      <c r="NA27" s="638">
        <f>MZ27/$MZ$34*100</f>
        <v>0</v>
      </c>
      <c r="NB27" s="382"/>
      <c r="NC27" s="26">
        <f>MZ27</f>
        <v>0</v>
      </c>
      <c r="ND27" s="638">
        <f>NC27/$MZ$34*100</f>
        <v>0</v>
      </c>
      <c r="NH27" s="483">
        <f>NH26+1</f>
        <v>21</v>
      </c>
      <c r="NI27" s="32" t="s">
        <v>262</v>
      </c>
      <c r="NJ27" s="32">
        <v>0</v>
      </c>
      <c r="NK27" s="32">
        <v>0</v>
      </c>
      <c r="NL27" s="32">
        <f t="shared" si="77"/>
        <v>0</v>
      </c>
      <c r="NM27" s="575">
        <f>IFERROR(NL27/NJ27,0)</f>
        <v>0</v>
      </c>
    </row>
    <row r="28" spans="2:377" ht="17.25" thickBot="1" x14ac:dyDescent="0.35">
      <c r="AL28" s="464"/>
      <c r="AN28" s="438"/>
      <c r="AS28" s="105"/>
      <c r="AT28" s="350"/>
      <c r="AV28" s="105"/>
      <c r="AW28" s="350"/>
      <c r="AX28" s="351"/>
      <c r="AZ28" s="105"/>
      <c r="BA28" s="350"/>
      <c r="BB28" s="351"/>
      <c r="BD28" s="105"/>
      <c r="BE28" s="350"/>
      <c r="BF28" s="351"/>
      <c r="BH28" s="105"/>
      <c r="BI28" s="350"/>
      <c r="BJ28" s="351"/>
      <c r="BL28" s="105"/>
      <c r="BM28" s="350"/>
      <c r="BN28" s="351"/>
      <c r="BP28" s="105"/>
      <c r="BQ28" s="350"/>
      <c r="BR28" s="351"/>
      <c r="BT28" s="105"/>
      <c r="BU28" s="350"/>
      <c r="BV28" s="351"/>
      <c r="BW28" s="351"/>
      <c r="BX28" s="351"/>
      <c r="BY28" s="351"/>
      <c r="BZ28" s="351"/>
      <c r="CA28" s="351"/>
      <c r="CB28" s="351"/>
      <c r="CC28" s="105"/>
      <c r="CE28" s="351"/>
      <c r="CF28" s="351"/>
      <c r="CG28" s="351"/>
      <c r="FG28" s="283">
        <f t="shared" si="84"/>
        <v>23</v>
      </c>
      <c r="FH28" s="406"/>
      <c r="FI28" s="407" t="s">
        <v>263</v>
      </c>
      <c r="FJ28" s="17">
        <v>78564</v>
      </c>
      <c r="FK28" s="17">
        <v>249993.75</v>
      </c>
      <c r="FL28" s="17">
        <v>20068</v>
      </c>
      <c r="FM28" s="290">
        <f t="shared" si="126"/>
        <v>348625.75</v>
      </c>
      <c r="FN28" s="17">
        <v>0</v>
      </c>
      <c r="FO28" s="17">
        <v>0</v>
      </c>
      <c r="FP28" s="17">
        <v>0</v>
      </c>
      <c r="FQ28" s="17">
        <v>0</v>
      </c>
      <c r="FR28" s="17">
        <v>0</v>
      </c>
      <c r="FS28" s="103"/>
      <c r="FT28" s="408"/>
      <c r="II28" s="595"/>
      <c r="IQ28" s="537"/>
      <c r="IS28" s="537"/>
      <c r="IT28" s="537"/>
      <c r="IU28" s="537"/>
      <c r="IW28" s="537"/>
      <c r="JU28" s="639"/>
      <c r="KL28" s="640"/>
      <c r="KM28" s="641"/>
      <c r="KU28" s="537"/>
      <c r="KZ28" s="641"/>
      <c r="LA28" s="641"/>
      <c r="LB28" s="641"/>
      <c r="LC28" s="640"/>
      <c r="LD28" s="641"/>
      <c r="LE28" s="642">
        <f t="shared" si="71"/>
        <v>23</v>
      </c>
      <c r="LF28" s="622" t="s">
        <v>260</v>
      </c>
      <c r="LG28" s="643"/>
      <c r="LH28" s="644"/>
      <c r="LI28" s="645">
        <f>JF26</f>
        <v>36992330.313946411</v>
      </c>
      <c r="LJ28" s="623">
        <f>LJ27/LI28</f>
        <v>0.92082333957100215</v>
      </c>
      <c r="LK28" s="645">
        <f>JH26</f>
        <v>2193064.0614437284</v>
      </c>
      <c r="LL28" s="623">
        <f>LL27/LK28</f>
        <v>0.93037604919306716</v>
      </c>
      <c r="LM28" s="645">
        <f>JJ26</f>
        <v>17704130.732731506</v>
      </c>
      <c r="LN28" s="623">
        <f>LN27/LM28</f>
        <v>0.8874311932684622</v>
      </c>
      <c r="LO28" s="623"/>
      <c r="LP28" s="623">
        <f>LP27/JL26</f>
        <v>1.0454682727600695</v>
      </c>
      <c r="LQ28" s="645">
        <f>JN26</f>
        <v>2144213.8135649599</v>
      </c>
      <c r="LR28" s="623">
        <f>LR27/LQ28</f>
        <v>1.0906760069318699</v>
      </c>
      <c r="LS28" s="645">
        <f>JP26</f>
        <v>1322857.4076787899</v>
      </c>
      <c r="LT28" s="623">
        <f>LT27/LS28</f>
        <v>0.95095557809118447</v>
      </c>
      <c r="LU28" s="645">
        <f>JR26</f>
        <v>4997847.5990450596</v>
      </c>
      <c r="LV28" s="623">
        <f>LV27/LU28</f>
        <v>1.1057664202630082</v>
      </c>
      <c r="LW28" s="645">
        <f>JT26</f>
        <v>9826395.2532786801</v>
      </c>
      <c r="LX28" s="623">
        <f>LX27/LW28</f>
        <v>1.0897389072345067</v>
      </c>
      <c r="LY28" s="645">
        <f>JV26</f>
        <v>96946557.618657649</v>
      </c>
      <c r="LZ28" s="624">
        <f>LZ27/LY28</f>
        <v>0.97374906464726729</v>
      </c>
      <c r="MA28" s="646"/>
      <c r="MX28" s="338">
        <f t="shared" ref="MX28:MX31" si="131">MX27+1</f>
        <v>22</v>
      </c>
      <c r="MY28" s="647" t="s">
        <v>264</v>
      </c>
      <c r="MZ28" s="648">
        <f>SUM(MZ25:MZ27)</f>
        <v>113193456.58642493</v>
      </c>
      <c r="NA28" s="649">
        <f>MZ28/$MZ$34*100</f>
        <v>5.1356946851424956</v>
      </c>
      <c r="NB28" s="474"/>
      <c r="NC28" s="650">
        <f>SUM(NC25:NC27)</f>
        <v>113193456.58642493</v>
      </c>
      <c r="ND28" s="649">
        <f>NC28/$MZ$34*100</f>
        <v>5.1356946851424956</v>
      </c>
      <c r="NH28" s="338">
        <f t="shared" ref="NH28:NH32" si="132">NH27+1</f>
        <v>22</v>
      </c>
      <c r="NI28" s="647" t="s">
        <v>264</v>
      </c>
      <c r="NJ28" s="33">
        <v>137621699.16939428</v>
      </c>
      <c r="NK28" s="648">
        <f>NK25+NK26+NK27</f>
        <v>113193456.58642493</v>
      </c>
      <c r="NL28" s="479">
        <f t="shared" si="77"/>
        <v>-24428242.582969353</v>
      </c>
      <c r="NM28" s="352">
        <f t="shared" si="78"/>
        <v>-0.17750284097932395</v>
      </c>
    </row>
    <row r="29" spans="2:377" x14ac:dyDescent="0.3">
      <c r="AL29" s="464"/>
      <c r="AN29" s="438"/>
      <c r="AS29" s="105"/>
      <c r="AT29" s="350"/>
      <c r="AV29" s="105"/>
      <c r="AW29" s="350"/>
      <c r="AX29" s="351"/>
      <c r="AZ29" s="105"/>
      <c r="BA29" s="350"/>
      <c r="BB29" s="351"/>
      <c r="BD29" s="105"/>
      <c r="BE29" s="350"/>
      <c r="BF29" s="351"/>
      <c r="BH29" s="105"/>
      <c r="BI29" s="350"/>
      <c r="BJ29" s="351"/>
      <c r="BL29" s="105"/>
      <c r="BM29" s="350"/>
      <c r="BN29" s="351"/>
      <c r="BP29" s="105"/>
      <c r="BQ29" s="350"/>
      <c r="BR29" s="351"/>
      <c r="BT29" s="105"/>
      <c r="BU29" s="350"/>
      <c r="BV29" s="351"/>
      <c r="BW29" s="351"/>
      <c r="BX29" s="351"/>
      <c r="BY29" s="351"/>
      <c r="BZ29" s="351"/>
      <c r="CA29" s="351"/>
      <c r="CB29" s="351"/>
      <c r="CC29" s="105"/>
      <c r="CE29" s="351"/>
      <c r="CF29" s="351"/>
      <c r="CG29" s="351"/>
      <c r="FG29" s="338">
        <f t="shared" si="84"/>
        <v>24</v>
      </c>
      <c r="FH29" s="360"/>
      <c r="FI29" s="361" t="s">
        <v>265</v>
      </c>
      <c r="FJ29" s="20">
        <v>28.81</v>
      </c>
      <c r="FK29" s="20">
        <v>30975.599999999999</v>
      </c>
      <c r="FL29" s="20">
        <v>53054.5</v>
      </c>
      <c r="FM29" s="343">
        <f t="shared" si="126"/>
        <v>84058.91</v>
      </c>
      <c r="FN29" s="20">
        <v>28.81</v>
      </c>
      <c r="FO29" s="20">
        <v>30975.599999999999</v>
      </c>
      <c r="FP29" s="20">
        <v>53054.5</v>
      </c>
      <c r="FQ29" s="20">
        <v>84058.91</v>
      </c>
      <c r="FR29" s="20">
        <v>84058.91</v>
      </c>
      <c r="FS29" s="103"/>
      <c r="FT29" s="408"/>
      <c r="JX29" s="351"/>
      <c r="JY29" s="464"/>
      <c r="KL29" s="640"/>
      <c r="KM29" s="641"/>
      <c r="KN29" s="641"/>
      <c r="KO29" s="641"/>
      <c r="KP29" s="641"/>
      <c r="KQ29" s="641"/>
      <c r="KR29" s="641"/>
      <c r="KT29" s="641"/>
      <c r="KU29" s="651"/>
      <c r="KV29" s="641"/>
      <c r="KW29" s="651"/>
      <c r="KX29" s="651"/>
      <c r="KY29" s="651"/>
      <c r="KZ29" s="641"/>
      <c r="LA29" s="641"/>
      <c r="LB29" s="641"/>
      <c r="LC29" s="640"/>
      <c r="LD29" s="641"/>
      <c r="LJ29" s="351"/>
      <c r="LL29" s="351"/>
      <c r="LN29" s="351"/>
      <c r="LO29" s="351"/>
      <c r="LP29" s="351"/>
      <c r="LQ29" s="351"/>
      <c r="LR29" s="351"/>
      <c r="LS29" s="351"/>
      <c r="LT29" s="351"/>
      <c r="LV29" s="351"/>
      <c r="LX29" s="351"/>
      <c r="LZ29" s="351"/>
      <c r="MA29" s="107"/>
      <c r="MX29" s="283">
        <f t="shared" si="131"/>
        <v>23</v>
      </c>
      <c r="MY29" s="444" t="s">
        <v>266</v>
      </c>
      <c r="MZ29" s="652">
        <f>MZ11</f>
        <v>4758928.0499999989</v>
      </c>
      <c r="NA29" s="509">
        <f t="shared" ref="NA29" si="133">MZ29/$MZ$34*100</f>
        <v>0.21591708770462284</v>
      </c>
      <c r="NB29" s="652">
        <f t="shared" ref="NB29:NC29" si="134">NB11</f>
        <v>0</v>
      </c>
      <c r="NC29" s="653">
        <f t="shared" si="134"/>
        <v>4758928.0499999989</v>
      </c>
      <c r="ND29" s="509">
        <f t="shared" ref="ND29" si="135">NC29/$MZ$34*100</f>
        <v>0.21591708770462284</v>
      </c>
      <c r="NH29" s="283">
        <f t="shared" si="132"/>
        <v>23</v>
      </c>
      <c r="NI29" s="444" t="s">
        <v>266</v>
      </c>
      <c r="NJ29" s="34">
        <v>4822773.09</v>
      </c>
      <c r="NK29" s="652">
        <f>MZ29</f>
        <v>4758928.0499999989</v>
      </c>
      <c r="NL29" s="28">
        <f t="shared" si="77"/>
        <v>-63845.040000000969</v>
      </c>
      <c r="NM29" s="395">
        <f t="shared" si="78"/>
        <v>-1.3238242564715183E-2</v>
      </c>
    </row>
    <row r="30" spans="2:377" x14ac:dyDescent="0.3">
      <c r="AL30" s="464"/>
      <c r="AN30" s="438"/>
      <c r="AS30" s="105"/>
      <c r="AT30" s="350"/>
      <c r="AV30" s="105"/>
      <c r="AW30" s="350"/>
      <c r="AX30" s="351"/>
      <c r="AZ30" s="105"/>
      <c r="BA30" s="350"/>
      <c r="BB30" s="351"/>
      <c r="BD30" s="105"/>
      <c r="BE30" s="350"/>
      <c r="BF30" s="351"/>
      <c r="BH30" s="105"/>
      <c r="BI30" s="350"/>
      <c r="BJ30" s="351"/>
      <c r="BL30" s="105"/>
      <c r="BM30" s="350"/>
      <c r="BN30" s="351"/>
      <c r="BP30" s="105"/>
      <c r="BQ30" s="350"/>
      <c r="BR30" s="351"/>
      <c r="BT30" s="105"/>
      <c r="BU30" s="350"/>
      <c r="BV30" s="351"/>
      <c r="BW30" s="351"/>
      <c r="BX30" s="351"/>
      <c r="BY30" s="351"/>
      <c r="BZ30" s="351"/>
      <c r="CA30" s="351"/>
      <c r="CB30" s="351"/>
      <c r="CC30" s="105"/>
      <c r="CE30" s="351"/>
      <c r="CF30" s="351"/>
      <c r="CG30" s="351"/>
      <c r="FG30" s="283">
        <f t="shared" si="84"/>
        <v>25</v>
      </c>
      <c r="FH30" s="406"/>
      <c r="FI30" s="407" t="s">
        <v>267</v>
      </c>
      <c r="FJ30" s="17">
        <v>265316.65460000001</v>
      </c>
      <c r="FK30" s="17">
        <v>40329.020000000004</v>
      </c>
      <c r="FL30" s="17">
        <v>139233.63999999998</v>
      </c>
      <c r="FM30" s="290">
        <f t="shared" si="126"/>
        <v>444879.31460000004</v>
      </c>
      <c r="FN30" s="17">
        <v>266750.55460000003</v>
      </c>
      <c r="FO30" s="17">
        <v>40329.020000000011</v>
      </c>
      <c r="FP30" s="17">
        <v>139233.64000000001</v>
      </c>
      <c r="FQ30" s="17">
        <v>446313.21460000006</v>
      </c>
      <c r="FR30" s="17">
        <v>446313.21460000006</v>
      </c>
      <c r="FS30" s="103"/>
      <c r="FT30" s="408"/>
      <c r="JE30" s="20"/>
      <c r="JF30" s="20"/>
      <c r="JG30" s="20"/>
      <c r="JH30" s="20"/>
      <c r="KL30" s="640"/>
      <c r="KM30" s="641"/>
      <c r="KN30" s="279"/>
      <c r="KO30" s="279"/>
      <c r="KP30" s="279"/>
      <c r="KQ30" s="279"/>
      <c r="KR30" s="279"/>
      <c r="KS30" s="279"/>
      <c r="KT30" s="279"/>
      <c r="KU30" s="279"/>
      <c r="KV30" s="279"/>
      <c r="KW30" s="279"/>
      <c r="KX30" s="279"/>
      <c r="KY30" s="279"/>
      <c r="KZ30" s="279"/>
      <c r="LA30" s="279"/>
      <c r="LB30" s="641"/>
      <c r="LC30" s="640"/>
      <c r="LD30" s="641"/>
      <c r="LE30" s="279"/>
      <c r="LF30" s="279"/>
      <c r="LG30" s="279"/>
      <c r="LH30" s="279"/>
      <c r="LI30" s="279"/>
      <c r="LJ30" s="654"/>
      <c r="LK30" s="654"/>
      <c r="LL30" s="655"/>
      <c r="LM30" s="279"/>
      <c r="LN30" s="655"/>
      <c r="LO30" s="655"/>
      <c r="LP30" s="279"/>
      <c r="LU30" s="103"/>
      <c r="MA30" s="107"/>
      <c r="MX30" s="338">
        <f t="shared" si="131"/>
        <v>24</v>
      </c>
      <c r="MY30" s="647" t="s">
        <v>268</v>
      </c>
      <c r="MZ30" s="648">
        <f>MZ28-MZ29</f>
        <v>108434528.53642493</v>
      </c>
      <c r="NA30" s="649">
        <f>MZ30/$MZ$34*100</f>
        <v>4.9197775974378724</v>
      </c>
      <c r="NB30" s="474"/>
      <c r="NC30" s="650">
        <f>NC28-NC29</f>
        <v>108434528.53642493</v>
      </c>
      <c r="ND30" s="649">
        <f>NC30/$MZ$34*100</f>
        <v>4.9197775974378724</v>
      </c>
      <c r="NH30" s="338">
        <f t="shared" si="132"/>
        <v>24</v>
      </c>
      <c r="NI30" s="647" t="s">
        <v>268</v>
      </c>
      <c r="NJ30" s="33">
        <v>132798926.07939428</v>
      </c>
      <c r="NK30" s="648">
        <f>MZ30</f>
        <v>108434528.53642493</v>
      </c>
      <c r="NL30" s="479">
        <f t="shared" si="77"/>
        <v>-24364397.542969346</v>
      </c>
      <c r="NM30" s="352">
        <f t="shared" si="78"/>
        <v>-0.18346833263096579</v>
      </c>
    </row>
    <row r="31" spans="2:377" x14ac:dyDescent="0.3">
      <c r="P31" s="656"/>
      <c r="Q31" s="656"/>
      <c r="R31" s="656"/>
      <c r="AL31" s="464"/>
      <c r="AN31" s="576"/>
      <c r="AO31" s="577"/>
      <c r="AQ31" s="91"/>
      <c r="AT31" s="578"/>
      <c r="AU31" s="91"/>
      <c r="AW31" s="578"/>
      <c r="AX31" s="578"/>
      <c r="AY31" s="91"/>
      <c r="BA31" s="578"/>
      <c r="BB31" s="578"/>
      <c r="BC31" s="91"/>
      <c r="BE31" s="578"/>
      <c r="BF31" s="578"/>
      <c r="BG31" s="91"/>
      <c r="BI31" s="578"/>
      <c r="BJ31" s="578"/>
      <c r="BK31" s="91"/>
      <c r="BM31" s="578"/>
      <c r="BN31" s="578"/>
      <c r="BO31" s="91"/>
      <c r="BQ31" s="578"/>
      <c r="BR31" s="578"/>
      <c r="BS31" s="91"/>
      <c r="BU31" s="578"/>
      <c r="BV31" s="578"/>
      <c r="BW31" s="578"/>
      <c r="BX31" s="578"/>
      <c r="BY31" s="578"/>
      <c r="BZ31" s="578"/>
      <c r="CA31" s="578"/>
      <c r="CB31" s="578"/>
      <c r="CD31" s="578"/>
      <c r="CE31" s="578"/>
      <c r="CF31" s="578"/>
      <c r="CG31" s="578"/>
      <c r="FG31" s="446">
        <f t="shared" si="84"/>
        <v>26</v>
      </c>
      <c r="FH31" s="657"/>
      <c r="FI31" s="658" t="s">
        <v>239</v>
      </c>
      <c r="FJ31" s="479">
        <f>SUM(FJ26:FJ30)</f>
        <v>345522.09460000001</v>
      </c>
      <c r="FK31" s="479">
        <f>SUM(FK26:FK30)</f>
        <v>375848.41</v>
      </c>
      <c r="FL31" s="479">
        <f>SUM(FL26:FL30)</f>
        <v>220432.21</v>
      </c>
      <c r="FM31" s="501">
        <f t="shared" si="126"/>
        <v>941802.71460000006</v>
      </c>
      <c r="FN31" s="479">
        <v>268391.99460000003</v>
      </c>
      <c r="FO31" s="479">
        <v>125854.66</v>
      </c>
      <c r="FP31" s="479">
        <v>200364.21000000002</v>
      </c>
      <c r="FQ31" s="479">
        <v>594610.86460000009</v>
      </c>
      <c r="FR31" s="479">
        <v>594610.86460000009</v>
      </c>
      <c r="FS31" s="103"/>
      <c r="FT31" s="408"/>
      <c r="JE31" s="20"/>
      <c r="JF31" s="20"/>
      <c r="JG31" s="20"/>
      <c r="JH31" s="20"/>
      <c r="JI31" s="344"/>
      <c r="JJ31" s="518"/>
      <c r="KN31" s="279"/>
      <c r="KO31" s="279"/>
      <c r="KP31" s="279"/>
      <c r="KQ31" s="279"/>
      <c r="KR31" s="279"/>
      <c r="KS31" s="279"/>
      <c r="KT31" s="279"/>
      <c r="KU31" s="279"/>
      <c r="KV31" s="279"/>
      <c r="KW31" s="279"/>
      <c r="KX31" s="279"/>
      <c r="KY31" s="279"/>
      <c r="KZ31" s="279"/>
      <c r="LA31" s="279"/>
      <c r="LL31" s="518"/>
      <c r="LN31" s="518"/>
      <c r="LO31" s="518"/>
      <c r="MA31" s="107"/>
      <c r="MX31" s="283">
        <f t="shared" si="131"/>
        <v>25</v>
      </c>
      <c r="MY31" s="32" t="s">
        <v>269</v>
      </c>
      <c r="MZ31" s="32">
        <v>136637688.37609816</v>
      </c>
      <c r="NA31" s="638">
        <f>MZ31/$MZ$34*100</f>
        <v>6.199381758851958</v>
      </c>
      <c r="NB31" s="97"/>
      <c r="NC31" s="26"/>
      <c r="ND31" s="660"/>
      <c r="NH31" s="483">
        <f>NH30+1</f>
        <v>25</v>
      </c>
      <c r="NI31" s="32" t="str">
        <f>MY31</f>
        <v>Total Revenue at Current Rates</v>
      </c>
      <c r="NJ31" s="32">
        <v>106708111.01526074</v>
      </c>
      <c r="NK31" s="32">
        <f>MZ31</f>
        <v>136637688.37609816</v>
      </c>
      <c r="NL31" s="32">
        <f t="shared" si="77"/>
        <v>29929577.360837415</v>
      </c>
      <c r="NM31" s="575">
        <f t="shared" si="78"/>
        <v>0.28048080952868776</v>
      </c>
    </row>
    <row r="32" spans="2:377" x14ac:dyDescent="0.3">
      <c r="AL32" s="464"/>
      <c r="AN32" s="438"/>
      <c r="AT32" s="661"/>
      <c r="AW32" s="661"/>
      <c r="AX32" s="351"/>
      <c r="BA32" s="661"/>
      <c r="BB32" s="351"/>
      <c r="BE32" s="661"/>
      <c r="BF32" s="351"/>
      <c r="BI32" s="661"/>
      <c r="BJ32" s="351"/>
      <c r="BM32" s="661"/>
      <c r="BN32" s="351"/>
      <c r="BQ32" s="661"/>
      <c r="BR32" s="351"/>
      <c r="BU32" s="661"/>
      <c r="BV32" s="351"/>
      <c r="BW32" s="351"/>
      <c r="BX32" s="351"/>
      <c r="BY32" s="351"/>
      <c r="BZ32" s="351"/>
      <c r="CA32" s="351"/>
      <c r="CB32" s="351"/>
      <c r="CD32" s="661"/>
      <c r="CE32" s="351"/>
      <c r="CF32" s="351"/>
      <c r="CG32" s="351"/>
      <c r="FG32" s="283">
        <f t="shared" si="84"/>
        <v>27</v>
      </c>
      <c r="FH32" s="285" t="s">
        <v>270</v>
      </c>
      <c r="FI32" s="297"/>
      <c r="FJ32" s="662"/>
      <c r="FK32" s="662"/>
      <c r="FL32" s="662"/>
      <c r="FM32" s="663"/>
      <c r="FN32" s="662"/>
      <c r="FO32" s="662"/>
      <c r="FP32" s="662"/>
      <c r="FQ32" s="662"/>
      <c r="FR32" s="662"/>
      <c r="FS32" s="103"/>
      <c r="FT32" s="408"/>
      <c r="JE32" s="20"/>
      <c r="JF32" s="20"/>
      <c r="JG32" s="20"/>
      <c r="JH32" s="20"/>
      <c r="JI32" s="344"/>
      <c r="KM32" s="279"/>
      <c r="KN32" s="279"/>
      <c r="KO32" s="279"/>
      <c r="KP32" s="279"/>
      <c r="KQ32" s="279"/>
      <c r="KR32" s="279"/>
      <c r="KS32" s="279"/>
      <c r="KT32" s="279"/>
      <c r="KU32" s="279"/>
      <c r="KV32" s="279"/>
      <c r="KW32" s="279"/>
      <c r="KX32" s="279"/>
      <c r="KY32" s="279"/>
      <c r="KZ32" s="279"/>
      <c r="LA32" s="279"/>
      <c r="LB32" s="279"/>
      <c r="LC32" s="664"/>
      <c r="LD32" s="279"/>
      <c r="LL32" s="518"/>
      <c r="LN32" s="518"/>
      <c r="LO32" s="518"/>
      <c r="MA32" s="351"/>
      <c r="MX32" s="446">
        <f>MX31+1</f>
        <v>26</v>
      </c>
      <c r="MY32" s="665" t="s">
        <v>271</v>
      </c>
      <c r="MZ32" s="665">
        <f>MZ30/MZ9-1</f>
        <v>-0.17649290234320081</v>
      </c>
      <c r="NA32" s="665"/>
      <c r="NB32" s="453"/>
      <c r="NC32" s="666">
        <f>(NC9)/NC30-1</f>
        <v>0</v>
      </c>
      <c r="ND32" s="665"/>
      <c r="NH32" s="446">
        <f t="shared" si="132"/>
        <v>26</v>
      </c>
      <c r="NI32" s="665" t="str">
        <f>MY32</f>
        <v>Proposed Rate Increase</v>
      </c>
      <c r="NJ32" s="36">
        <v>0.31098299636767157</v>
      </c>
      <c r="NK32" s="665">
        <f>MZ32</f>
        <v>-0.17649290234320081</v>
      </c>
      <c r="NL32" s="665">
        <f t="shared" si="77"/>
        <v>-0.48747589871087238</v>
      </c>
      <c r="NM32" s="667"/>
    </row>
    <row r="33" spans="38:377" x14ac:dyDescent="0.3">
      <c r="AL33" s="464"/>
      <c r="AN33" s="438"/>
      <c r="AT33" s="661"/>
      <c r="AW33" s="661"/>
      <c r="AX33" s="351"/>
      <c r="BA33" s="661"/>
      <c r="BB33" s="351"/>
      <c r="BE33" s="661"/>
      <c r="BF33" s="351"/>
      <c r="BI33" s="661"/>
      <c r="BJ33" s="351"/>
      <c r="BM33" s="661"/>
      <c r="BN33" s="351"/>
      <c r="BQ33" s="661"/>
      <c r="BR33" s="351"/>
      <c r="BU33" s="661"/>
      <c r="BV33" s="351"/>
      <c r="BW33" s="351"/>
      <c r="BX33" s="351"/>
      <c r="BY33" s="351"/>
      <c r="BZ33" s="351"/>
      <c r="CA33" s="351"/>
      <c r="CB33" s="351"/>
      <c r="CD33" s="661"/>
      <c r="CE33" s="351"/>
      <c r="CF33" s="351"/>
      <c r="CG33" s="351"/>
      <c r="EB33" s="668"/>
      <c r="FG33" s="338">
        <f t="shared" si="84"/>
        <v>28</v>
      </c>
      <c r="FH33" s="360"/>
      <c r="FI33" s="361" t="s">
        <v>272</v>
      </c>
      <c r="FJ33" s="20">
        <v>18180.79</v>
      </c>
      <c r="FK33" s="20">
        <v>0</v>
      </c>
      <c r="FL33" s="20">
        <v>511037.56</v>
      </c>
      <c r="FM33" s="343">
        <f>FJ33+FL33+FK33</f>
        <v>529218.35</v>
      </c>
      <c r="FN33" s="20">
        <v>18180.79</v>
      </c>
      <c r="FO33" s="20">
        <v>0</v>
      </c>
      <c r="FP33" s="20">
        <v>511037.56000000006</v>
      </c>
      <c r="FQ33" s="20">
        <v>529218.35000000009</v>
      </c>
      <c r="FR33" s="20">
        <v>529218.35000000009</v>
      </c>
      <c r="FT33" s="408"/>
      <c r="JH33" s="518"/>
      <c r="JJ33" s="518"/>
      <c r="KL33" s="669"/>
      <c r="KM33" s="670"/>
      <c r="KN33" s="279"/>
      <c r="KO33" s="279"/>
      <c r="KP33" s="279"/>
      <c r="KQ33" s="279"/>
      <c r="KR33" s="279"/>
      <c r="KS33" s="279"/>
      <c r="KT33" s="279"/>
      <c r="KU33" s="279"/>
      <c r="KV33" s="279"/>
      <c r="KW33" s="279"/>
      <c r="KX33" s="279"/>
      <c r="KY33" s="279"/>
      <c r="KZ33" s="279"/>
      <c r="LA33" s="279"/>
      <c r="LB33" s="670"/>
      <c r="LC33" s="669"/>
      <c r="LD33" s="670"/>
      <c r="LL33" s="518"/>
      <c r="LN33" s="518"/>
      <c r="LO33" s="518"/>
      <c r="MX33" s="88" t="s">
        <v>241</v>
      </c>
      <c r="MY33" s="88"/>
      <c r="MZ33" s="88"/>
      <c r="NA33" s="88"/>
      <c r="NB33" s="88"/>
      <c r="NC33" s="88"/>
      <c r="ND33" s="88"/>
      <c r="NH33" s="88" t="s">
        <v>241</v>
      </c>
      <c r="NI33" s="461"/>
      <c r="NJ33" s="461"/>
      <c r="NK33" s="461"/>
      <c r="NL33" s="671"/>
      <c r="NM33" s="671"/>
    </row>
    <row r="34" spans="38:377" x14ac:dyDescent="0.3">
      <c r="AL34" s="464"/>
      <c r="AN34" s="438"/>
      <c r="AT34" s="661"/>
      <c r="AW34" s="661"/>
      <c r="AX34" s="351"/>
      <c r="BA34" s="661"/>
      <c r="BB34" s="351"/>
      <c r="BE34" s="661"/>
      <c r="BF34" s="351"/>
      <c r="BI34" s="661"/>
      <c r="BJ34" s="351"/>
      <c r="BM34" s="661"/>
      <c r="BN34" s="351"/>
      <c r="BQ34" s="661"/>
      <c r="BR34" s="351"/>
      <c r="BU34" s="661"/>
      <c r="BV34" s="351"/>
      <c r="BW34" s="351"/>
      <c r="BX34" s="351"/>
      <c r="BY34" s="351"/>
      <c r="BZ34" s="351"/>
      <c r="CA34" s="351"/>
      <c r="CB34" s="351"/>
      <c r="CD34" s="661"/>
      <c r="CE34" s="351"/>
      <c r="CF34" s="351"/>
      <c r="CG34" s="351"/>
      <c r="FG34" s="283">
        <f t="shared" si="84"/>
        <v>29</v>
      </c>
      <c r="FH34" s="406"/>
      <c r="FI34" s="407" t="s">
        <v>273</v>
      </c>
      <c r="FJ34" s="17">
        <v>26603.350000000002</v>
      </c>
      <c r="FK34" s="17">
        <v>172158.89</v>
      </c>
      <c r="FL34" s="17">
        <v>314965.26</v>
      </c>
      <c r="FM34" s="290">
        <f>FJ34+FL34+FK34</f>
        <v>513727.5</v>
      </c>
      <c r="FN34" s="17">
        <v>26603.35</v>
      </c>
      <c r="FO34" s="17">
        <v>172158.88999999998</v>
      </c>
      <c r="FP34" s="17">
        <v>282086.93</v>
      </c>
      <c r="FQ34" s="17">
        <v>480849.16999999993</v>
      </c>
      <c r="FR34" s="17">
        <v>480849.16999999993</v>
      </c>
      <c r="FS34" s="103"/>
      <c r="FT34" s="408"/>
      <c r="JH34" s="518"/>
      <c r="JJ34" s="518"/>
      <c r="KL34" s="143"/>
      <c r="KM34" s="109"/>
      <c r="KN34" s="279"/>
      <c r="KO34" s="279"/>
      <c r="KP34" s="279"/>
      <c r="KQ34" s="279"/>
      <c r="KR34" s="279"/>
      <c r="KS34" s="279"/>
      <c r="KT34" s="279"/>
      <c r="KU34" s="279"/>
      <c r="KV34" s="279"/>
      <c r="KW34" s="279"/>
      <c r="KX34" s="279"/>
      <c r="KY34" s="279"/>
      <c r="KZ34" s="279"/>
      <c r="LA34" s="279"/>
      <c r="LB34" s="109"/>
      <c r="LC34" s="110"/>
      <c r="LD34" s="109"/>
      <c r="LL34" s="518"/>
      <c r="LN34" s="518"/>
      <c r="LO34" s="518"/>
      <c r="MX34" s="283">
        <f>MX32+1</f>
        <v>27</v>
      </c>
      <c r="MY34" s="672" t="s">
        <v>119</v>
      </c>
      <c r="MZ34" s="958">
        <f>KF26</f>
        <v>2204053463.5731421</v>
      </c>
      <c r="NA34" s="958"/>
      <c r="NB34" s="37"/>
      <c r="NC34" s="673"/>
      <c r="ND34" s="37">
        <f>MZ34</f>
        <v>2204053463.5731421</v>
      </c>
      <c r="NH34" s="283">
        <f>NH32+1</f>
        <v>27</v>
      </c>
      <c r="NI34" s="672" t="str">
        <f>MY34</f>
        <v>Target Year Volume</v>
      </c>
      <c r="NJ34" s="37">
        <v>2182672674</v>
      </c>
      <c r="NK34" s="37">
        <f>MZ34</f>
        <v>2204053463.5731421</v>
      </c>
      <c r="NL34" s="903">
        <f t="shared" ref="NL34" si="136">NK34-NJ34</f>
        <v>21380789.573142052</v>
      </c>
      <c r="NM34" s="674">
        <f t="shared" ref="NM34:NM35" si="137">NL34/NJ34</f>
        <v>9.7956921474438418E-3</v>
      </c>
    </row>
    <row r="35" spans="38:377" ht="17.25" thickBot="1" x14ac:dyDescent="0.35">
      <c r="AL35" s="464"/>
      <c r="AN35" s="438"/>
      <c r="AT35" s="661"/>
      <c r="AW35" s="661"/>
      <c r="AX35" s="351"/>
      <c r="BA35" s="661"/>
      <c r="BB35" s="351"/>
      <c r="BE35" s="661"/>
      <c r="BF35" s="351"/>
      <c r="BI35" s="661"/>
      <c r="BJ35" s="351"/>
      <c r="BM35" s="661"/>
      <c r="BN35" s="351"/>
      <c r="BQ35" s="661"/>
      <c r="BR35" s="351"/>
      <c r="BU35" s="661"/>
      <c r="BV35" s="351"/>
      <c r="BW35" s="351"/>
      <c r="BX35" s="351"/>
      <c r="BY35" s="351"/>
      <c r="BZ35" s="351"/>
      <c r="CA35" s="351"/>
      <c r="CB35" s="351"/>
      <c r="CD35" s="661"/>
      <c r="CE35" s="351"/>
      <c r="CF35" s="351"/>
      <c r="CG35" s="351"/>
      <c r="FG35" s="456">
        <f t="shared" si="84"/>
        <v>30</v>
      </c>
      <c r="FH35" s="675"/>
      <c r="FI35" s="676" t="s">
        <v>239</v>
      </c>
      <c r="FJ35" s="479">
        <f>SUM(FJ33:FJ34)</f>
        <v>44784.14</v>
      </c>
      <c r="FK35" s="479">
        <f>SUM(FK33:FK34)</f>
        <v>172158.89</v>
      </c>
      <c r="FL35" s="479">
        <f>SUM(FL33:FL34)</f>
        <v>826002.82000000007</v>
      </c>
      <c r="FM35" s="501">
        <f>FJ35+FL35+FK35</f>
        <v>1042945.8500000001</v>
      </c>
      <c r="FN35" s="479">
        <v>44784.14</v>
      </c>
      <c r="FO35" s="479">
        <v>172158.88999999998</v>
      </c>
      <c r="FP35" s="479">
        <v>793124.49</v>
      </c>
      <c r="FQ35" s="479">
        <v>1010067.52</v>
      </c>
      <c r="FR35" s="479">
        <v>1010067.52</v>
      </c>
      <c r="FT35" s="408"/>
      <c r="JH35" s="518"/>
      <c r="JJ35" s="518"/>
      <c r="KM35" s="279"/>
      <c r="KN35" s="279"/>
      <c r="KO35" s="279"/>
      <c r="KP35" s="279"/>
      <c r="KQ35" s="279"/>
      <c r="KR35" s="279"/>
      <c r="KS35" s="279"/>
      <c r="KT35" s="279"/>
      <c r="KU35" s="279"/>
      <c r="KV35" s="279"/>
      <c r="KW35" s="279"/>
      <c r="KX35" s="279"/>
      <c r="KY35" s="279"/>
      <c r="KZ35" s="279"/>
      <c r="LA35" s="279"/>
      <c r="LB35" s="279"/>
      <c r="LC35" s="664"/>
      <c r="LD35" s="279"/>
      <c r="LL35" s="518"/>
      <c r="LN35" s="518"/>
      <c r="LO35" s="518"/>
      <c r="MX35" s="421">
        <f>MX34+1</f>
        <v>28</v>
      </c>
      <c r="MY35" s="678" t="s">
        <v>248</v>
      </c>
      <c r="MZ35" s="954">
        <f>KD26</f>
        <v>221</v>
      </c>
      <c r="NA35" s="954"/>
      <c r="NB35" s="38"/>
      <c r="NC35" s="679"/>
      <c r="ND35" s="38">
        <f>MZ35</f>
        <v>221</v>
      </c>
      <c r="NH35" s="421">
        <f>NH34+1</f>
        <v>28</v>
      </c>
      <c r="NI35" s="678" t="str">
        <f>MY35</f>
        <v>Number of Depots</v>
      </c>
      <c r="NJ35" s="38">
        <v>222</v>
      </c>
      <c r="NK35" s="38">
        <f>MZ35</f>
        <v>221</v>
      </c>
      <c r="NL35" s="680">
        <f>NK35-NJ35</f>
        <v>-1</v>
      </c>
      <c r="NM35" s="681">
        <f t="shared" si="137"/>
        <v>-4.5045045045045045E-3</v>
      </c>
    </row>
    <row r="36" spans="38:377" ht="17.25" thickBot="1" x14ac:dyDescent="0.35">
      <c r="AN36" s="576"/>
      <c r="FG36" s="467">
        <f t="shared" si="84"/>
        <v>31</v>
      </c>
      <c r="FH36" s="682"/>
      <c r="FI36" s="471" t="s">
        <v>72</v>
      </c>
      <c r="FJ36" s="469">
        <f>FJ20+FJ24+FJ31+FJ35</f>
        <v>1955314.6527999998</v>
      </c>
      <c r="FK36" s="469">
        <f>FK20+FK24+FK31+FK35</f>
        <v>3087185.5686000003</v>
      </c>
      <c r="FL36" s="469">
        <f>FL20+FL24+FL31+FL35</f>
        <v>5219521.7150999997</v>
      </c>
      <c r="FM36" s="470">
        <f>FJ36+FL36+FK36</f>
        <v>10262021.9365</v>
      </c>
      <c r="FN36" s="469">
        <v>1867647.810069697</v>
      </c>
      <c r="FO36" s="469">
        <v>2660485.1605300005</v>
      </c>
      <c r="FP36" s="469">
        <v>5141127.5751</v>
      </c>
      <c r="FQ36" s="469">
        <v>9669260.545699697</v>
      </c>
      <c r="FR36" s="469">
        <v>9669260.545699697</v>
      </c>
      <c r="FT36" s="408"/>
      <c r="JH36" s="518"/>
      <c r="JJ36" s="518"/>
      <c r="KL36" s="683"/>
      <c r="KM36" s="677"/>
      <c r="KN36" s="279"/>
      <c r="KO36" s="279"/>
      <c r="KP36" s="279"/>
      <c r="KQ36" s="279"/>
      <c r="KR36" s="279"/>
      <c r="KS36" s="279"/>
      <c r="KT36" s="279"/>
      <c r="KU36" s="279"/>
      <c r="KV36" s="279"/>
      <c r="KW36" s="279"/>
      <c r="KX36" s="279"/>
      <c r="KY36" s="279"/>
      <c r="KZ36" s="279"/>
      <c r="LA36" s="279"/>
      <c r="LB36" s="677"/>
      <c r="LC36" s="684"/>
      <c r="LD36" s="677"/>
      <c r="LL36" s="518"/>
      <c r="LN36" s="518"/>
      <c r="LO36" s="518"/>
      <c r="MY36" s="91" t="s">
        <v>452</v>
      </c>
    </row>
    <row r="37" spans="38:377" x14ac:dyDescent="0.3">
      <c r="AL37" s="464"/>
      <c r="AN37" s="438"/>
      <c r="AP37" s="685"/>
      <c r="AQ37" s="91"/>
      <c r="AT37" s="326"/>
      <c r="AV37" s="686"/>
      <c r="AW37" s="326"/>
      <c r="AX37" s="351"/>
      <c r="AZ37" s="686"/>
      <c r="BA37" s="326"/>
      <c r="BB37" s="351"/>
      <c r="BD37" s="686"/>
      <c r="BE37" s="326"/>
      <c r="BF37" s="351"/>
      <c r="BH37" s="686"/>
      <c r="BI37" s="326"/>
      <c r="BJ37" s="351"/>
      <c r="BL37" s="686"/>
      <c r="BM37" s="326"/>
      <c r="BN37" s="351"/>
      <c r="BP37" s="686"/>
      <c r="BQ37" s="326"/>
      <c r="BR37" s="351"/>
      <c r="BT37" s="686"/>
      <c r="BU37" s="326"/>
      <c r="BV37" s="351"/>
      <c r="BW37" s="351"/>
      <c r="BX37" s="351"/>
      <c r="BY37" s="351"/>
      <c r="BZ37" s="351"/>
      <c r="CA37" s="351"/>
      <c r="CB37" s="351"/>
      <c r="CC37" s="686"/>
      <c r="CD37" s="326"/>
      <c r="CE37" s="351"/>
      <c r="CF37" s="351"/>
      <c r="CG37" s="351"/>
      <c r="JH37" s="518"/>
      <c r="JJ37" s="518"/>
      <c r="KL37" s="683"/>
      <c r="KM37" s="677"/>
      <c r="KN37" s="279"/>
      <c r="KO37" s="279"/>
      <c r="KP37" s="279"/>
      <c r="KQ37" s="279"/>
      <c r="KR37" s="279"/>
      <c r="KS37" s="279"/>
      <c r="KT37" s="279"/>
      <c r="KU37" s="279"/>
      <c r="KV37" s="279"/>
      <c r="KW37" s="279"/>
      <c r="KX37" s="279"/>
      <c r="KY37" s="279"/>
      <c r="KZ37" s="279"/>
      <c r="LA37" s="279"/>
      <c r="LB37" s="677"/>
      <c r="LC37" s="684"/>
      <c r="LD37" s="677"/>
      <c r="LL37" s="518"/>
      <c r="LN37" s="518"/>
      <c r="LO37" s="518"/>
      <c r="MY37" s="572" t="s">
        <v>254</v>
      </c>
      <c r="MZ37" s="31">
        <v>113162003.07033257</v>
      </c>
      <c r="NA37" s="573">
        <v>5.1371628933547182</v>
      </c>
      <c r="NB37" s="96"/>
      <c r="NC37" s="96"/>
      <c r="ND37" s="96"/>
    </row>
    <row r="38" spans="38:377" x14ac:dyDescent="0.3">
      <c r="AL38" s="464"/>
      <c r="AN38" s="438"/>
      <c r="AQ38" s="91"/>
      <c r="BU38" s="347"/>
      <c r="CD38" s="347"/>
      <c r="FT38" s="408"/>
      <c r="JH38" s="518"/>
      <c r="JJ38" s="518"/>
      <c r="KL38" s="683"/>
      <c r="KM38" s="677"/>
      <c r="KN38" s="677"/>
      <c r="KO38" s="677"/>
      <c r="KP38" s="677"/>
      <c r="KQ38" s="677"/>
      <c r="KR38" s="677"/>
      <c r="KT38" s="641"/>
      <c r="KU38" s="641"/>
      <c r="KV38" s="641"/>
      <c r="KW38" s="641"/>
      <c r="KX38" s="641"/>
      <c r="KY38" s="641"/>
      <c r="KZ38" s="677"/>
      <c r="LA38" s="677"/>
      <c r="LB38" s="677"/>
      <c r="LC38" s="684"/>
      <c r="LD38" s="677"/>
      <c r="LL38" s="518"/>
      <c r="LN38" s="518"/>
      <c r="LO38" s="518"/>
      <c r="MY38" s="20" t="s">
        <v>257</v>
      </c>
      <c r="MZ38" s="20">
        <v>0</v>
      </c>
      <c r="NA38" s="414">
        <v>0</v>
      </c>
      <c r="NB38" s="96"/>
      <c r="NC38" s="96"/>
      <c r="ND38" s="96"/>
    </row>
    <row r="39" spans="38:377" x14ac:dyDescent="0.3">
      <c r="JH39" s="518"/>
      <c r="JJ39" s="518"/>
      <c r="KL39" s="683"/>
      <c r="KM39" s="677"/>
      <c r="KN39" s="677"/>
      <c r="KO39" s="677"/>
      <c r="KP39" s="677"/>
      <c r="KQ39" s="677"/>
      <c r="KR39" s="677"/>
      <c r="KT39" s="641"/>
      <c r="KU39" s="641"/>
      <c r="KV39" s="641"/>
      <c r="KW39" s="641"/>
      <c r="KX39" s="641"/>
      <c r="KY39" s="641"/>
      <c r="KZ39" s="677"/>
      <c r="LA39" s="677"/>
      <c r="LB39" s="677"/>
      <c r="LC39" s="684"/>
      <c r="LD39" s="677"/>
      <c r="LL39" s="518"/>
      <c r="LN39" s="518"/>
      <c r="LO39" s="518"/>
      <c r="MH39" s="687"/>
      <c r="MI39" s="687"/>
      <c r="MJ39" s="687"/>
      <c r="MK39" s="687"/>
      <c r="MY39" s="32" t="s">
        <v>262</v>
      </c>
      <c r="MZ39" s="32">
        <v>0</v>
      </c>
      <c r="NA39" s="638">
        <v>0</v>
      </c>
      <c r="NB39" s="96"/>
      <c r="NC39" s="96"/>
      <c r="ND39" s="96"/>
    </row>
    <row r="40" spans="38:377" x14ac:dyDescent="0.3">
      <c r="AL40" s="464"/>
      <c r="JH40" s="518"/>
      <c r="JJ40" s="518"/>
      <c r="KT40" s="641"/>
      <c r="KU40" s="641"/>
      <c r="KV40" s="641"/>
      <c r="KW40" s="641"/>
      <c r="KX40" s="641"/>
      <c r="KY40" s="641"/>
      <c r="LL40" s="518"/>
      <c r="LN40" s="518"/>
      <c r="LO40" s="518"/>
      <c r="MH40" s="687"/>
      <c r="MI40" s="687"/>
      <c r="MJ40" s="687"/>
      <c r="MK40" s="687"/>
      <c r="MY40" s="647" t="s">
        <v>264</v>
      </c>
      <c r="MZ40" s="648">
        <v>113162003.07033257</v>
      </c>
      <c r="NA40" s="649">
        <v>5.1371628933547182</v>
      </c>
      <c r="NB40" s="96"/>
      <c r="NC40" s="96"/>
      <c r="ND40" s="96"/>
    </row>
    <row r="41" spans="38:377" x14ac:dyDescent="0.3">
      <c r="AL41" s="688"/>
      <c r="JH41" s="518"/>
      <c r="JJ41" s="518"/>
      <c r="KT41" s="641"/>
      <c r="KU41" s="641"/>
      <c r="KV41" s="641"/>
      <c r="KW41" s="641"/>
      <c r="KX41" s="641"/>
      <c r="KY41" s="641"/>
      <c r="LL41" s="518"/>
      <c r="LN41" s="518"/>
      <c r="LO41" s="518"/>
      <c r="MH41" s="687"/>
      <c r="MI41" s="689"/>
      <c r="MJ41" s="690"/>
      <c r="MK41" s="691"/>
      <c r="MY41" s="444" t="s">
        <v>266</v>
      </c>
      <c r="MZ41" s="652">
        <v>4758928.0499999989</v>
      </c>
      <c r="NA41" s="509">
        <v>0.2160388463202649</v>
      </c>
      <c r="NB41" s="96"/>
      <c r="NC41" s="96"/>
      <c r="ND41" s="96"/>
    </row>
    <row r="42" spans="38:377" x14ac:dyDescent="0.3">
      <c r="AL42" s="464"/>
      <c r="JH42" s="518"/>
      <c r="JJ42" s="518"/>
      <c r="KT42" s="641"/>
      <c r="KU42" s="641"/>
      <c r="KV42" s="641"/>
      <c r="KW42" s="641"/>
      <c r="KX42" s="641"/>
      <c r="KY42" s="641"/>
      <c r="LL42" s="518"/>
      <c r="LN42" s="518"/>
      <c r="LO42" s="518"/>
      <c r="MH42" s="687"/>
      <c r="MI42" s="690"/>
      <c r="MJ42" s="690"/>
      <c r="MK42" s="691"/>
      <c r="MY42" s="647" t="s">
        <v>268</v>
      </c>
      <c r="MZ42" s="648">
        <v>108403075.02033257</v>
      </c>
      <c r="NA42" s="649">
        <v>4.9211240470344544</v>
      </c>
      <c r="NB42" s="96"/>
      <c r="NC42" s="96"/>
      <c r="ND42" s="96"/>
    </row>
    <row r="43" spans="38:377" x14ac:dyDescent="0.3">
      <c r="JH43" s="518"/>
      <c r="JJ43" s="518"/>
      <c r="KT43" s="641"/>
      <c r="KU43" s="641"/>
      <c r="KV43" s="641"/>
      <c r="KW43" s="641"/>
      <c r="KX43" s="641"/>
      <c r="KY43" s="641"/>
      <c r="LL43" s="518"/>
      <c r="LN43" s="518"/>
      <c r="LO43" s="518"/>
      <c r="MH43" s="687"/>
      <c r="MI43" s="689"/>
      <c r="MJ43" s="689"/>
      <c r="MK43" s="691"/>
      <c r="MY43" s="32" t="s">
        <v>269</v>
      </c>
      <c r="MZ43" s="32">
        <v>136637688.37609816</v>
      </c>
      <c r="NA43" s="638">
        <v>6.2028776754967172</v>
      </c>
      <c r="NB43" s="96"/>
      <c r="NC43" s="96"/>
      <c r="ND43" s="96"/>
    </row>
    <row r="44" spans="38:377" x14ac:dyDescent="0.3">
      <c r="JH44" s="518"/>
      <c r="JJ44" s="518"/>
      <c r="KT44" s="641"/>
      <c r="KU44" s="641"/>
      <c r="KV44" s="641"/>
      <c r="KW44" s="641"/>
      <c r="KX44" s="641"/>
      <c r="KY44" s="641"/>
      <c r="LL44" s="518"/>
      <c r="LN44" s="518"/>
      <c r="LO44" s="518"/>
      <c r="MH44" s="687"/>
      <c r="MI44" s="687"/>
      <c r="MJ44" s="687"/>
      <c r="MK44" s="691"/>
      <c r="MY44" s="665" t="s">
        <v>271</v>
      </c>
      <c r="MZ44" s="665">
        <v>-0.17673177638173754</v>
      </c>
      <c r="NA44" s="665"/>
      <c r="NB44" s="96"/>
      <c r="NC44" s="96"/>
      <c r="ND44" s="96"/>
      <c r="NI44" s="113"/>
    </row>
    <row r="45" spans="38:377" x14ac:dyDescent="0.3">
      <c r="KT45" s="641"/>
      <c r="KU45" s="641"/>
      <c r="KV45" s="641"/>
      <c r="KW45" s="641"/>
      <c r="KX45" s="641"/>
      <c r="KY45" s="641"/>
      <c r="LL45" s="518"/>
      <c r="LN45" s="518"/>
      <c r="LO45" s="518"/>
      <c r="MH45" s="687"/>
      <c r="MI45" s="687"/>
      <c r="MJ45" s="687"/>
      <c r="MK45" s="687"/>
      <c r="MY45" s="88"/>
      <c r="MZ45" s="88"/>
      <c r="NA45" s="88"/>
      <c r="NB45" s="96"/>
      <c r="NC45" s="96"/>
      <c r="ND45" s="96"/>
    </row>
    <row r="46" spans="38:377" x14ac:dyDescent="0.3">
      <c r="KT46" s="641"/>
      <c r="KU46" s="641"/>
      <c r="KV46" s="641"/>
      <c r="KW46" s="641"/>
      <c r="KX46" s="641"/>
      <c r="KY46" s="641"/>
      <c r="LL46" s="518"/>
      <c r="LN46" s="518"/>
      <c r="LO46" s="518"/>
      <c r="MY46" s="672" t="s">
        <v>119</v>
      </c>
      <c r="MZ46" s="958">
        <v>2202811268</v>
      </c>
      <c r="NA46" s="958"/>
      <c r="NB46" s="96"/>
      <c r="NC46" s="96"/>
      <c r="ND46" s="96"/>
      <c r="NI46" s="113"/>
    </row>
    <row r="47" spans="38:377" x14ac:dyDescent="0.3">
      <c r="KT47" s="641"/>
      <c r="KU47" s="641"/>
      <c r="KV47" s="641"/>
      <c r="KW47" s="641"/>
      <c r="KX47" s="641"/>
      <c r="KY47" s="641"/>
      <c r="LL47" s="518"/>
      <c r="LN47" s="518"/>
      <c r="LO47" s="518"/>
      <c r="MZ47" s="96"/>
      <c r="NA47" s="96"/>
      <c r="NB47" s="96"/>
      <c r="NC47" s="96"/>
      <c r="ND47" s="96"/>
    </row>
    <row r="48" spans="38:377" x14ac:dyDescent="0.3">
      <c r="KT48" s="641"/>
      <c r="KU48" s="641"/>
      <c r="KV48" s="641"/>
      <c r="KW48" s="641"/>
      <c r="KX48" s="641"/>
      <c r="KY48" s="641"/>
      <c r="LL48" s="518"/>
      <c r="LN48" s="518"/>
      <c r="LO48" s="518"/>
      <c r="MY48" s="91" t="s">
        <v>449</v>
      </c>
      <c r="MZ48" s="950">
        <f>MZ28-MZ37</f>
        <v>31453.51609236002</v>
      </c>
      <c r="NA48" s="694"/>
      <c r="NH48" s="98"/>
      <c r="NI48" s="695"/>
    </row>
    <row r="49" spans="306:380" x14ac:dyDescent="0.3">
      <c r="KT49" s="641"/>
      <c r="KU49" s="641"/>
      <c r="KV49" s="641"/>
      <c r="KW49" s="641"/>
      <c r="KX49" s="641"/>
      <c r="KY49" s="641"/>
      <c r="LL49" s="518"/>
      <c r="LN49" s="518"/>
      <c r="LO49" s="518"/>
      <c r="MZ49" s="20"/>
      <c r="NA49" s="692"/>
      <c r="NI49" s="695"/>
    </row>
    <row r="50" spans="306:380" x14ac:dyDescent="0.3">
      <c r="KT50" s="641"/>
      <c r="KU50" s="641"/>
      <c r="LL50" s="518"/>
      <c r="LN50" s="518"/>
      <c r="LO50" s="518"/>
      <c r="MP50" s="337"/>
      <c r="MQ50" s="98"/>
      <c r="MU50" s="98"/>
      <c r="MV50" s="337"/>
      <c r="MW50" s="98"/>
      <c r="MZ50" s="693"/>
      <c r="NA50" s="694"/>
      <c r="NH50" s="98"/>
      <c r="NI50" s="695"/>
      <c r="NO50" s="337"/>
      <c r="NP50" s="98"/>
    </row>
    <row r="51" spans="306:380" x14ac:dyDescent="0.3">
      <c r="LL51" s="518"/>
      <c r="LN51" s="518"/>
      <c r="LO51" s="518"/>
      <c r="MR51" s="98"/>
      <c r="MS51" s="98"/>
      <c r="MT51" s="98"/>
      <c r="MZ51" s="20"/>
      <c r="NA51" s="692"/>
      <c r="NG51" s="98"/>
    </row>
    <row r="52" spans="306:380" x14ac:dyDescent="0.3">
      <c r="MP52" s="337"/>
      <c r="MQ52" s="98"/>
      <c r="MU52" s="98"/>
      <c r="MV52" s="337"/>
      <c r="MW52" s="98"/>
      <c r="MZ52" s="693"/>
      <c r="NA52" s="694"/>
      <c r="NF52" s="337"/>
      <c r="NO52" s="337"/>
      <c r="NP52" s="98"/>
    </row>
    <row r="53" spans="306:380" x14ac:dyDescent="0.3">
      <c r="MR53" s="98"/>
      <c r="MS53" s="98"/>
      <c r="MT53" s="98"/>
      <c r="MZ53" s="20"/>
      <c r="NA53" s="692"/>
      <c r="NG53" s="98"/>
    </row>
    <row r="54" spans="306:380" x14ac:dyDescent="0.3">
      <c r="MZ54" s="20"/>
      <c r="NA54" s="692"/>
      <c r="NF54" s="337"/>
    </row>
  </sheetData>
  <mergeCells count="113">
    <mergeCell ref="MZ46:NA46"/>
    <mergeCell ref="F25:G25"/>
    <mergeCell ref="H25:J25"/>
    <mergeCell ref="K25:M25"/>
    <mergeCell ref="N25:P25"/>
    <mergeCell ref="MZ34:NA34"/>
    <mergeCell ref="MZ35:NA35"/>
    <mergeCell ref="BT22:BV22"/>
    <mergeCell ref="BT23:BV23"/>
    <mergeCell ref="F24:G24"/>
    <mergeCell ref="H24:J24"/>
    <mergeCell ref="K24:M24"/>
    <mergeCell ref="N24:P24"/>
    <mergeCell ref="MI3:MK3"/>
    <mergeCell ref="ML3:MN3"/>
    <mergeCell ref="MZ4:NA4"/>
    <mergeCell ref="NC4:ND4"/>
    <mergeCell ref="DH12:DI13"/>
    <mergeCell ref="AN21:CG21"/>
    <mergeCell ref="LQ3:LR3"/>
    <mergeCell ref="LS3:LT3"/>
    <mergeCell ref="LU3:LV3"/>
    <mergeCell ref="LW3:LX3"/>
    <mergeCell ref="LY3:LZ3"/>
    <mergeCell ref="MF3:MH3"/>
    <mergeCell ref="KX3:KY3"/>
    <mergeCell ref="KZ3:LA3"/>
    <mergeCell ref="LI3:LJ3"/>
    <mergeCell ref="LK3:LL3"/>
    <mergeCell ref="LM3:LN3"/>
    <mergeCell ref="LO3:LP3"/>
    <mergeCell ref="JQ3:JR3"/>
    <mergeCell ref="JS3:JT3"/>
    <mergeCell ref="JU3:JW3"/>
    <mergeCell ref="KR3:KS3"/>
    <mergeCell ref="KT3:KU3"/>
    <mergeCell ref="KV3:KW3"/>
    <mergeCell ref="JE3:JF3"/>
    <mergeCell ref="JG3:JH3"/>
    <mergeCell ref="JI3:JJ3"/>
    <mergeCell ref="JK3:JL3"/>
    <mergeCell ref="JM3:JN3"/>
    <mergeCell ref="JO3:JP3"/>
    <mergeCell ref="HO3:HR3"/>
    <mergeCell ref="IN3:IO3"/>
    <mergeCell ref="IP3:IQ3"/>
    <mergeCell ref="IR3:IS3"/>
    <mergeCell ref="IT3:IU3"/>
    <mergeCell ref="IV3:IW3"/>
    <mergeCell ref="GB3:GE3"/>
    <mergeCell ref="GK3:GN3"/>
    <mergeCell ref="GO3:GR3"/>
    <mergeCell ref="GX3:HA3"/>
    <mergeCell ref="HB3:HE3"/>
    <mergeCell ref="HK3:HN3"/>
    <mergeCell ref="ES3:EV3"/>
    <mergeCell ref="EW3:EZ3"/>
    <mergeCell ref="FA3:FC3"/>
    <mergeCell ref="FJ3:FM3"/>
    <mergeCell ref="FN3:FR3"/>
    <mergeCell ref="FX3:GA3"/>
    <mergeCell ref="DJ3:DK3"/>
    <mergeCell ref="DL3:DM3"/>
    <mergeCell ref="DS3:DV3"/>
    <mergeCell ref="DW3:DZ3"/>
    <mergeCell ref="EF3:EI3"/>
    <mergeCell ref="EJ3:EM3"/>
    <mergeCell ref="CC3:CE3"/>
    <mergeCell ref="CF3:CG3"/>
    <mergeCell ref="CM3:CP3"/>
    <mergeCell ref="CQ3:CT3"/>
    <mergeCell ref="CZ3:DA3"/>
    <mergeCell ref="DB3:DD3"/>
    <mergeCell ref="BH3:BJ3"/>
    <mergeCell ref="BL3:BN3"/>
    <mergeCell ref="BP3:BR3"/>
    <mergeCell ref="BT3:BV3"/>
    <mergeCell ref="BW3:BY3"/>
    <mergeCell ref="BZ3:CB3"/>
    <mergeCell ref="NH1:NM2"/>
    <mergeCell ref="F3:G3"/>
    <mergeCell ref="H3:J3"/>
    <mergeCell ref="K3:M3"/>
    <mergeCell ref="N3:P3"/>
    <mergeCell ref="Q3:R3"/>
    <mergeCell ref="AS3:AT3"/>
    <mergeCell ref="AV3:AX3"/>
    <mergeCell ref="AZ3:BB3"/>
    <mergeCell ref="BD3:BF3"/>
    <mergeCell ref="KA1:KJ2"/>
    <mergeCell ref="KN1:LA2"/>
    <mergeCell ref="LE1:LZ2"/>
    <mergeCell ref="MD1:MN2"/>
    <mergeCell ref="MR1:MT2"/>
    <mergeCell ref="MX1:ND2"/>
    <mergeCell ref="GH1:GS1"/>
    <mergeCell ref="GU1:HF1"/>
    <mergeCell ref="HH1:HS1"/>
    <mergeCell ref="HV1:IG2"/>
    <mergeCell ref="IK1:IW2"/>
    <mergeCell ref="JA1:JW1"/>
    <mergeCell ref="DG1:DN1"/>
    <mergeCell ref="DP1:EA1"/>
    <mergeCell ref="ED1:EM1"/>
    <mergeCell ref="EQ1:FC1"/>
    <mergeCell ref="FG1:FR1"/>
    <mergeCell ref="FU1:GF1"/>
    <mergeCell ref="B1:R1"/>
    <mergeCell ref="W1:AA1"/>
    <mergeCell ref="AF1:AJ1"/>
    <mergeCell ref="AN1:CG1"/>
    <mergeCell ref="CJ1:CU1"/>
    <mergeCell ref="CW1:DE1"/>
  </mergeCells>
  <conditionalFormatting sqref="AM3:CH4">
    <cfRule type="cellIs" dxfId="51" priority="5" operator="lessThan">
      <formula>0</formula>
    </cfRule>
  </conditionalFormatting>
  <conditionalFormatting sqref="AN7:AP20">
    <cfRule type="cellIs" dxfId="50" priority="20" operator="lessThan">
      <formula>0</formula>
    </cfRule>
  </conditionalFormatting>
  <conditionalFormatting sqref="AN22:BT23">
    <cfRule type="cellIs" dxfId="49" priority="3" operator="lessThan">
      <formula>0</formula>
    </cfRule>
  </conditionalFormatting>
  <conditionalFormatting sqref="BW7:CG20">
    <cfRule type="cellIs" dxfId="48" priority="8" operator="lessThan">
      <formula>0</formula>
    </cfRule>
  </conditionalFormatting>
  <conditionalFormatting sqref="BZ22:CA23">
    <cfRule type="cellIs" dxfId="47" priority="2" operator="lessThan">
      <formula>0</formula>
    </cfRule>
  </conditionalFormatting>
  <conditionalFormatting sqref="CC22:CG23">
    <cfRule type="cellIs" dxfId="46" priority="9" operator="lessThan">
      <formula>0</formula>
    </cfRule>
  </conditionalFormatting>
  <conditionalFormatting sqref="CH1:CI1 JZ1:KA1 KN1 LB1:LE1 MA1:MB1 MD1 AM1:AM2 KK1:KM2 AO2:AR2 BW2:CH2 JZ2 MA2 LB2:LD27 CI2:CI1048576 MB2:MB1048576 JZ3:KP3 KR3 KT3 KV3 LI3:LO3 LQ3 LU3:MA3 LG3:LH4 JZ4 KB4:KL4 LI4:MA4 KN4:KQ27 KM4:KM28 AN5:AR5 BW5:CG5 CH5:CH24 LE5:LF27 AM5:AM1048576 AN6:CG6 KJ6:KL26 JZ6:KI1048576 AQ7:BT10 BU7:BV11 LU7:MA28 AQ11:BO11 BQ11:BT11 AQ12:BV20 AH19:AJ19 AN26:CH1048576 KS27 KU27 KW27:KY27 KL27:KL32 KJ27:KK1048576 MC28:MN1048576 KM29:KR29 KT29:LD29 LF29:LZ29 MA29:MA1048576 LF30:LH30 LJ30:LZ30 KM30:KM32 LB30:LD32 KN30:LA37 LE31:LZ1048576 KN38:KR50 KL34:KM50 KT38:LA50 LB34:LD50 KL51:LD1048576">
    <cfRule type="cellIs" dxfId="45" priority="26" operator="lessThan">
      <formula>0</formula>
    </cfRule>
  </conditionalFormatting>
  <conditionalFormatting sqref="IC4 IC6:IC25">
    <cfRule type="cellIs" dxfId="44" priority="25" operator="lessThan">
      <formula>0</formula>
    </cfRule>
  </conditionalFormatting>
  <conditionalFormatting sqref="JC4">
    <cfRule type="cellIs" dxfId="43" priority="23" operator="lessThan">
      <formula>0</formula>
    </cfRule>
  </conditionalFormatting>
  <conditionalFormatting sqref="JZ5:KL5">
    <cfRule type="cellIs" dxfId="42" priority="12" operator="lessThan">
      <formula>0</formula>
    </cfRule>
  </conditionalFormatting>
  <conditionalFormatting sqref="KR4:LA26">
    <cfRule type="cellIs" dxfId="41" priority="1" operator="lessThan">
      <formula>0</formula>
    </cfRule>
  </conditionalFormatting>
  <conditionalFormatting sqref="KZ3">
    <cfRule type="cellIs" dxfId="40" priority="21" operator="lessThan">
      <formula>0</formula>
    </cfRule>
  </conditionalFormatting>
  <conditionalFormatting sqref="KZ28:LT28">
    <cfRule type="cellIs" dxfId="39" priority="11" operator="lessThan">
      <formula>0</formula>
    </cfRule>
  </conditionalFormatting>
  <conditionalFormatting sqref="LA27">
    <cfRule type="cellIs" dxfId="38" priority="13" operator="lessThan">
      <formula>0</formula>
    </cfRule>
  </conditionalFormatting>
  <conditionalFormatting sqref="LE3:LF3 LF4">
    <cfRule type="cellIs" dxfId="37" priority="22" operator="lessThan">
      <formula>0</formula>
    </cfRule>
  </conditionalFormatting>
  <conditionalFormatting sqref="LG7:LT27">
    <cfRule type="cellIs" dxfId="36" priority="10" operator="lessThan">
      <formula>0</formula>
    </cfRule>
  </conditionalFormatting>
  <conditionalFormatting sqref="LG5:MA6">
    <cfRule type="cellIs" dxfId="35" priority="24" operator="lessThan">
      <formula>0</formula>
    </cfRule>
  </conditionalFormatting>
  <conditionalFormatting sqref="MC2">
    <cfRule type="cellIs" dxfId="34" priority="4" operator="lessThan">
      <formula>0</formula>
    </cfRule>
  </conditionalFormatting>
  <conditionalFormatting sqref="MF3:MF4">
    <cfRule type="cellIs" dxfId="33" priority="19" operator="lessThan">
      <formula>0</formula>
    </cfRule>
  </conditionalFormatting>
  <conditionalFormatting sqref="MG4:MH4">
    <cfRule type="cellIs" dxfId="32" priority="18" operator="lessThan">
      <formula>0</formula>
    </cfRule>
  </conditionalFormatting>
  <conditionalFormatting sqref="MI3:MI4">
    <cfRule type="cellIs" dxfId="31" priority="17" operator="lessThan">
      <formula>0</formula>
    </cfRule>
  </conditionalFormatting>
  <conditionalFormatting sqref="MJ4:MK4">
    <cfRule type="cellIs" dxfId="30" priority="16" operator="lessThan">
      <formula>0</formula>
    </cfRule>
  </conditionalFormatting>
  <conditionalFormatting sqref="ML3:ML4">
    <cfRule type="cellIs" dxfId="29" priority="15" operator="lessThan">
      <formula>0</formula>
    </cfRule>
  </conditionalFormatting>
  <conditionalFormatting sqref="MM4:MN4">
    <cfRule type="cellIs" dxfId="28" priority="14" operator="lessThan">
      <formula>0</formula>
    </cfRule>
  </conditionalFormatting>
  <conditionalFormatting sqref="MR1">
    <cfRule type="cellIs" dxfId="27" priority="7" operator="lessThan">
      <formula>0</formula>
    </cfRule>
  </conditionalFormatting>
  <conditionalFormatting sqref="MR4:MT4">
    <cfRule type="cellIs" dxfId="26" priority="6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A86D5-4199-4F5F-BC00-2C240CD3EEF0}">
  <dimension ref="A1:KH50"/>
  <sheetViews>
    <sheetView zoomScale="85" zoomScaleNormal="85" workbookViewId="0">
      <selection activeCell="D16" sqref="D16"/>
    </sheetView>
  </sheetViews>
  <sheetFormatPr defaultColWidth="10.28515625" defaultRowHeight="16.5" x14ac:dyDescent="0.3"/>
  <cols>
    <col min="1" max="1" width="2.42578125" style="2" customWidth="1"/>
    <col min="2" max="2" width="8.85546875" style="2" customWidth="1"/>
    <col min="3" max="3" width="39.42578125" style="2" customWidth="1"/>
    <col min="4" max="4" width="24.5703125" style="2" customWidth="1"/>
    <col min="5" max="5" width="21.7109375" style="2" customWidth="1"/>
    <col min="6" max="6" width="21.42578125" style="2" customWidth="1"/>
    <col min="7" max="7" width="4.140625" style="2" customWidth="1"/>
    <col min="8" max="8" width="7" style="102" customWidth="1"/>
    <col min="9" max="9" width="4.140625" style="2" customWidth="1"/>
    <col min="10" max="10" width="5.7109375" style="2" customWidth="1"/>
    <col min="11" max="11" width="11.7109375" style="2" customWidth="1"/>
    <col min="12" max="12" width="37.7109375" style="2" customWidth="1"/>
    <col min="13" max="13" width="20.85546875" style="2" customWidth="1"/>
    <col min="14" max="16" width="14.42578125" style="2" customWidth="1"/>
    <col min="17" max="17" width="17.7109375" style="2" customWidth="1"/>
    <col min="18" max="18" width="15" style="2" customWidth="1"/>
    <col min="19" max="19" width="4.140625" style="2" customWidth="1"/>
    <col min="20" max="20" width="7" style="102" customWidth="1"/>
    <col min="21" max="21" width="4.140625" style="2" customWidth="1"/>
    <col min="22" max="22" width="6" style="2" customWidth="1"/>
    <col min="23" max="23" width="11.28515625" style="2" customWidth="1"/>
    <col min="24" max="24" width="35" style="2" bestFit="1" customWidth="1"/>
    <col min="25" max="25" width="18.28515625" style="2" customWidth="1"/>
    <col min="26" max="26" width="11.42578125" style="2" customWidth="1"/>
    <col min="27" max="27" width="4.140625" style="2" customWidth="1"/>
    <col min="28" max="28" width="7" style="102" customWidth="1"/>
    <col min="29" max="29" width="4.140625" style="2" customWidth="1"/>
    <col min="30" max="31" width="9.85546875" style="2" customWidth="1"/>
    <col min="32" max="32" width="38.28515625" style="2" customWidth="1"/>
    <col min="33" max="33" width="16.5703125" style="2" customWidth="1"/>
    <col min="34" max="34" width="4" style="2" customWidth="1"/>
    <col min="35" max="35" width="7" style="102" customWidth="1"/>
    <col min="36" max="36" width="4.140625" style="2" customWidth="1"/>
    <col min="37" max="37" width="5.140625" style="2" customWidth="1"/>
    <col min="38" max="38" width="65.28515625" style="2" customWidth="1"/>
    <col min="39" max="39" width="13.28515625" style="2" customWidth="1"/>
    <col min="40" max="40" width="4.140625" style="2" customWidth="1"/>
    <col min="41" max="41" width="7" style="102" customWidth="1"/>
    <col min="42" max="42" width="4.140625" style="2" customWidth="1"/>
    <col min="43" max="43" width="5.28515625" style="2" customWidth="1"/>
    <col min="44" max="44" width="11" style="2" customWidth="1"/>
    <col min="45" max="45" width="35" style="2" bestFit="1" customWidth="1"/>
    <col min="46" max="46" width="16.5703125" style="2" customWidth="1"/>
    <col min="47" max="47" width="17.85546875" style="2" bestFit="1" customWidth="1"/>
    <col min="48" max="48" width="22.42578125" style="2" customWidth="1"/>
    <col min="49" max="49" width="21" style="2" bestFit="1" customWidth="1"/>
    <col min="50" max="50" width="17.28515625" style="2" customWidth="1"/>
    <col min="51" max="51" width="20.28515625" style="2" customWidth="1"/>
    <col min="52" max="52" width="19.5703125" style="2" hidden="1" customWidth="1"/>
    <col min="53" max="53" width="15.5703125" style="2" hidden="1" customWidth="1"/>
    <col min="54" max="54" width="4.140625" style="2" customWidth="1"/>
    <col min="55" max="55" width="7" style="102" customWidth="1"/>
    <col min="56" max="56" width="4.140625" style="2" customWidth="1"/>
    <col min="57" max="57" width="4.7109375" style="2" bestFit="1" customWidth="1"/>
    <col min="58" max="58" width="36.140625" style="2" bestFit="1" customWidth="1"/>
    <col min="59" max="59" width="13.28515625" style="2" bestFit="1" customWidth="1"/>
    <col min="60" max="60" width="15" style="2" bestFit="1" customWidth="1"/>
    <col min="61" max="61" width="4.140625" style="2" customWidth="1"/>
    <col min="62" max="62" width="7" style="102" customWidth="1"/>
    <col min="63" max="63" width="4.140625" style="2" customWidth="1"/>
    <col min="64" max="64" width="5.7109375" style="2" customWidth="1"/>
    <col min="65" max="65" width="11.7109375" style="2" customWidth="1"/>
    <col min="66" max="66" width="38.42578125" style="2" customWidth="1"/>
    <col min="67" max="67" width="18.42578125" style="2" customWidth="1"/>
    <col min="68" max="68" width="20.5703125" style="2" customWidth="1"/>
    <col min="69" max="72" width="16.7109375" style="2" customWidth="1"/>
    <col min="73" max="73" width="4.140625" style="2" customWidth="1"/>
    <col min="74" max="74" width="7" style="102" customWidth="1"/>
    <col min="75" max="75" width="4.140625" style="2" customWidth="1"/>
    <col min="76" max="76" width="5" style="2" customWidth="1"/>
    <col min="77" max="77" width="18.85546875" style="2" bestFit="1" customWidth="1"/>
    <col min="78" max="78" width="14.42578125" style="2" customWidth="1"/>
    <col min="79" max="79" width="14.85546875" style="2" customWidth="1"/>
    <col min="80" max="83" width="15.5703125" style="2" customWidth="1"/>
    <col min="84" max="84" width="4.140625" style="2" customWidth="1"/>
    <col min="85" max="85" width="7" style="102" customWidth="1"/>
    <col min="86" max="86" width="4.140625" style="2" customWidth="1"/>
    <col min="87" max="87" width="5" style="2" customWidth="1"/>
    <col min="88" max="88" width="11" style="7" customWidth="1"/>
    <col min="89" max="89" width="35.5703125" style="2" customWidth="1"/>
    <col min="90" max="96" width="16.140625" style="2" customWidth="1"/>
    <col min="97" max="97" width="4.140625" style="2" customWidth="1"/>
    <col min="98" max="98" width="7" style="102" customWidth="1"/>
    <col min="99" max="99" width="4.140625" style="2" customWidth="1"/>
    <col min="100" max="100" width="4.7109375" style="2" customWidth="1"/>
    <col min="101" max="101" width="30" style="2" bestFit="1" customWidth="1"/>
    <col min="102" max="105" width="13.140625" style="2" customWidth="1"/>
    <col min="106" max="106" width="16.7109375" style="2" customWidth="1"/>
    <col min="107" max="107" width="20" style="2" customWidth="1"/>
    <col min="108" max="108" width="20.140625" style="2" customWidth="1"/>
    <col min="109" max="109" width="4.140625" style="2" customWidth="1"/>
    <col min="110" max="110" width="7" style="102" customWidth="1"/>
    <col min="111" max="111" width="4.140625" style="2" customWidth="1"/>
    <col min="112" max="112" width="5.85546875" style="2" customWidth="1"/>
    <col min="113" max="113" width="11.42578125" style="2" customWidth="1"/>
    <col min="114" max="114" width="34.42578125" style="2" customWidth="1"/>
    <col min="115" max="115" width="13.28515625" style="2" customWidth="1"/>
    <col min="116" max="116" width="15.5703125" style="2" customWidth="1"/>
    <col min="117" max="117" width="16.5703125" style="2" customWidth="1"/>
    <col min="118" max="118" width="15.5703125" style="2" customWidth="1"/>
    <col min="119" max="119" width="13.28515625" style="2" customWidth="1"/>
    <col min="120" max="120" width="15.5703125" style="2" customWidth="1"/>
    <col min="121" max="121" width="16.7109375" style="2" customWidth="1"/>
    <col min="122" max="122" width="13.28515625" style="2" customWidth="1"/>
    <col min="123" max="123" width="15.42578125" style="2" customWidth="1"/>
    <col min="124" max="124" width="4.140625" style="2" customWidth="1"/>
    <col min="125" max="125" width="7" style="102" customWidth="1"/>
    <col min="126" max="126" width="4.140625" style="2" customWidth="1"/>
    <col min="127" max="127" width="6.140625" style="2" customWidth="1"/>
    <col min="128" max="128" width="11.140625" style="2" customWidth="1"/>
    <col min="129" max="129" width="37.85546875" style="2" customWidth="1"/>
    <col min="130" max="130" width="16.7109375" style="2" customWidth="1"/>
    <col min="131" max="131" width="16" style="2" customWidth="1"/>
    <col min="132" max="132" width="15.42578125" style="2" customWidth="1"/>
    <col min="133" max="133" width="4.140625" style="2" customWidth="1"/>
    <col min="134" max="134" width="7" style="102" customWidth="1"/>
    <col min="135" max="135" width="4.140625" style="2" customWidth="1"/>
    <col min="136" max="136" width="4.7109375" style="2" customWidth="1"/>
    <col min="137" max="138" width="14.42578125" style="2" customWidth="1"/>
    <col min="139" max="139" width="13.140625" style="2" customWidth="1"/>
    <col min="140" max="140" width="14.85546875" style="2" customWidth="1"/>
    <col min="141" max="141" width="4.140625" style="2" customWidth="1"/>
    <col min="142" max="142" width="7" style="102" customWidth="1"/>
    <col min="143" max="143" width="4.140625" style="2" customWidth="1"/>
    <col min="144" max="144" width="5.7109375" style="2" customWidth="1"/>
    <col min="145" max="145" width="11.7109375" style="2" customWidth="1"/>
    <col min="146" max="146" width="34.42578125" style="2" customWidth="1"/>
    <col min="147" max="147" width="14.42578125" style="2" customWidth="1"/>
    <col min="148" max="148" width="15.5703125" style="2" bestFit="1" customWidth="1"/>
    <col min="149" max="152" width="14.42578125" style="2" customWidth="1"/>
    <col min="153" max="153" width="15.5703125" style="2" customWidth="1"/>
    <col min="154" max="155" width="14.42578125" style="2" customWidth="1"/>
    <col min="156" max="156" width="4.140625" style="2" customWidth="1"/>
    <col min="157" max="157" width="7" style="102" customWidth="1"/>
    <col min="158" max="158" width="4.140625" style="2" customWidth="1"/>
    <col min="159" max="159" width="5.28515625" style="2" customWidth="1"/>
    <col min="160" max="160" width="33.28515625" style="2" customWidth="1"/>
    <col min="161" max="161" width="21.28515625" style="2" customWidth="1"/>
    <col min="162" max="162" width="4.140625" style="2" customWidth="1"/>
    <col min="163" max="163" width="7" style="102" customWidth="1"/>
    <col min="164" max="164" width="4.140625" style="2" customWidth="1"/>
    <col min="165" max="165" width="5.42578125" style="2" customWidth="1"/>
    <col min="166" max="166" width="11.42578125" style="2" customWidth="1"/>
    <col min="167" max="167" width="40" style="2" customWidth="1"/>
    <col min="168" max="168" width="12.140625" style="2" customWidth="1"/>
    <col min="169" max="169" width="20.140625" style="2" customWidth="1"/>
    <col min="170" max="170" width="15.5703125" style="2" customWidth="1"/>
    <col min="171" max="171" width="4.140625" style="2" customWidth="1"/>
    <col min="172" max="172" width="7" style="102" customWidth="1"/>
    <col min="173" max="173" width="4.140625" style="2" customWidth="1"/>
    <col min="174" max="174" width="5.7109375" style="2" customWidth="1"/>
    <col min="175" max="175" width="10.5703125" style="2" customWidth="1"/>
    <col min="176" max="176" width="37.7109375" style="2" customWidth="1"/>
    <col min="177" max="177" width="17.28515625" style="2" bestFit="1" customWidth="1"/>
    <col min="178" max="178" width="16.7109375" style="2" bestFit="1" customWidth="1"/>
    <col min="179" max="179" width="16.140625" style="2" bestFit="1" customWidth="1"/>
    <col min="180" max="180" width="15.5703125" style="2" bestFit="1" customWidth="1"/>
    <col min="181" max="181" width="15" style="2" bestFit="1" customWidth="1"/>
    <col min="182" max="182" width="16.140625" style="2" bestFit="1" customWidth="1"/>
    <col min="183" max="183" width="16.7109375" style="2" bestFit="1" customWidth="1"/>
    <col min="184" max="184" width="17.85546875" style="2" bestFit="1" customWidth="1"/>
    <col min="185" max="185" width="15.42578125" style="2" customWidth="1"/>
    <col min="186" max="186" width="3" style="2" customWidth="1"/>
    <col min="187" max="187" width="7" style="102" customWidth="1"/>
    <col min="188" max="188" width="4.140625" style="2" customWidth="1"/>
    <col min="189" max="189" width="5.42578125" style="2" customWidth="1"/>
    <col min="190" max="190" width="11" style="2" customWidth="1"/>
    <col min="191" max="191" width="37.7109375" style="2" customWidth="1"/>
    <col min="192" max="192" width="18" style="2" customWidth="1"/>
    <col min="193" max="197" width="16.5703125" style="2" customWidth="1"/>
    <col min="198" max="198" width="24.85546875" style="2" customWidth="1"/>
    <col min="199" max="199" width="16.5703125" style="2" customWidth="1"/>
    <col min="200" max="200" width="20.140625" style="2" bestFit="1" customWidth="1"/>
    <col min="201" max="201" width="4.7109375" style="2" customWidth="1"/>
    <col min="202" max="202" width="7" style="102" customWidth="1"/>
    <col min="203" max="203" width="4.140625" style="2" customWidth="1"/>
    <col min="204" max="204" width="6" style="2" customWidth="1"/>
    <col min="205" max="205" width="11.140625" style="2" customWidth="1"/>
    <col min="206" max="206" width="34.85546875" style="2" customWidth="1"/>
    <col min="207" max="207" width="16.140625" style="2" customWidth="1"/>
    <col min="208" max="208" width="17.85546875" style="2" bestFit="1" customWidth="1"/>
    <col min="209" max="209" width="20.140625" style="2" customWidth="1"/>
    <col min="210" max="210" width="15.5703125" style="2" customWidth="1"/>
    <col min="211" max="211" width="17.85546875" style="2" bestFit="1" customWidth="1"/>
    <col min="212" max="212" width="15.5703125" style="2" customWidth="1"/>
    <col min="213" max="213" width="3" style="2" customWidth="1"/>
    <col min="214" max="214" width="7" style="102" customWidth="1"/>
    <col min="215" max="215" width="4.140625" style="2" customWidth="1"/>
    <col min="216" max="216" width="5.85546875" style="2" customWidth="1"/>
    <col min="217" max="217" width="15.5703125" style="2" customWidth="1"/>
    <col min="218" max="218" width="17.7109375" style="2" bestFit="1" customWidth="1"/>
    <col min="219" max="219" width="15.5703125" style="2" customWidth="1"/>
    <col min="220" max="220" width="17.7109375" style="2" bestFit="1" customWidth="1"/>
    <col min="221" max="221" width="11" style="2" customWidth="1"/>
    <col min="222" max="222" width="3" style="2" customWidth="1"/>
    <col min="223" max="223" width="7" style="102" customWidth="1"/>
    <col min="224" max="224" width="4.140625" style="2" customWidth="1"/>
    <col min="225" max="225" width="7.5703125" style="2" customWidth="1"/>
    <col min="226" max="226" width="10.28515625" style="2"/>
    <col min="227" max="227" width="32.7109375" style="2" bestFit="1" customWidth="1"/>
    <col min="228" max="228" width="16.42578125" style="2" customWidth="1"/>
    <col min="229" max="229" width="21.85546875" style="2" customWidth="1"/>
    <col min="230" max="230" width="23.140625" style="2" customWidth="1"/>
    <col min="231" max="231" width="11.5703125" style="2" customWidth="1"/>
    <col min="232" max="232" width="11" style="2" customWidth="1"/>
    <col min="233" max="233" width="16.5703125" style="2" customWidth="1"/>
    <col min="234" max="234" width="4.140625" style="2" customWidth="1"/>
    <col min="235" max="235" width="7" style="102" customWidth="1"/>
    <col min="236" max="236" width="4.140625" style="2" customWidth="1"/>
    <col min="237" max="238" width="14.140625" style="2" bestFit="1" customWidth="1"/>
    <col min="239" max="239" width="17.140625" style="2" bestFit="1" customWidth="1"/>
    <col min="240" max="240" width="10.28515625" style="2"/>
    <col min="241" max="241" width="22.85546875" style="2" bestFit="1" customWidth="1"/>
    <col min="242" max="242" width="13.85546875" style="2" bestFit="1" customWidth="1"/>
    <col min="243" max="243" width="13.28515625" style="2" bestFit="1" customWidth="1"/>
    <col min="244" max="244" width="22.7109375" style="2" customWidth="1"/>
    <col min="245" max="245" width="8.5703125" style="2" bestFit="1" customWidth="1"/>
    <col min="246" max="246" width="10.28515625" style="2"/>
    <col min="247" max="247" width="13.85546875" style="2" bestFit="1" customWidth="1"/>
    <col min="248" max="248" width="7" style="102" customWidth="1"/>
    <col min="249" max="249" width="14.42578125" style="2" bestFit="1" customWidth="1"/>
    <col min="250" max="250" width="4.7109375" style="2" bestFit="1" customWidth="1"/>
    <col min="251" max="251" width="12.7109375" style="2" customWidth="1"/>
    <col min="252" max="252" width="34.140625" style="2" customWidth="1"/>
    <col min="253" max="253" width="19" style="2" bestFit="1" customWidth="1"/>
    <col min="254" max="254" width="20.7109375" style="2" bestFit="1" customWidth="1"/>
    <col min="255" max="255" width="25.5703125" style="2" bestFit="1" customWidth="1"/>
    <col min="256" max="256" width="26.5703125" style="2" bestFit="1" customWidth="1"/>
    <col min="257" max="257" width="30.140625" style="2" bestFit="1" customWidth="1"/>
    <col min="258" max="258" width="28.28515625" style="2" customWidth="1"/>
    <col min="259" max="259" width="22.140625" style="2" bestFit="1" customWidth="1"/>
    <col min="260" max="260" width="17.7109375" style="2" bestFit="1" customWidth="1"/>
    <col min="261" max="261" width="15.140625" style="2" bestFit="1" customWidth="1"/>
    <col min="262" max="262" width="19" style="2" bestFit="1" customWidth="1"/>
    <col min="263" max="263" width="12.140625" style="2" customWidth="1"/>
    <col min="264" max="264" width="10.28515625" style="2"/>
    <col min="265" max="265" width="7" style="102" customWidth="1"/>
    <col min="266" max="266" width="10.28515625" style="2"/>
    <col min="267" max="267" width="11.5703125" style="2" bestFit="1" customWidth="1"/>
    <col min="268" max="268" width="9.85546875" style="2" bestFit="1" customWidth="1"/>
    <col min="269" max="269" width="33.85546875" style="2" customWidth="1"/>
    <col min="270" max="270" width="18.85546875" style="2" customWidth="1"/>
    <col min="271" max="271" width="20.42578125" style="2" customWidth="1"/>
    <col min="272" max="272" width="16.28515625" style="2" bestFit="1" customWidth="1"/>
    <col min="273" max="273" width="8.7109375" style="2" bestFit="1" customWidth="1"/>
    <col min="274" max="274" width="12.42578125" style="2" customWidth="1"/>
    <col min="275" max="275" width="14.42578125" style="2" customWidth="1"/>
    <col min="276" max="277" width="10.28515625" style="2"/>
    <col min="278" max="278" width="7" style="102" customWidth="1"/>
    <col min="279" max="279" width="10.28515625" style="2"/>
    <col min="280" max="282" width="17.28515625" style="2" bestFit="1" customWidth="1"/>
    <col min="283" max="283" width="11.5703125" style="2" bestFit="1" customWidth="1"/>
    <col min="284" max="284" width="29.85546875" style="2" bestFit="1" customWidth="1"/>
    <col min="285" max="285" width="15.85546875" style="2" customWidth="1"/>
    <col min="286" max="286" width="17.28515625" style="2" bestFit="1" customWidth="1"/>
    <col min="287" max="288" width="12.7109375" style="2" customWidth="1"/>
    <col min="289" max="289" width="17.140625" style="2" bestFit="1" customWidth="1"/>
    <col min="290" max="291" width="16.7109375" style="2" bestFit="1" customWidth="1"/>
    <col min="292" max="292" width="17.28515625" style="2" bestFit="1" customWidth="1"/>
    <col min="293" max="293" width="10.28515625" style="2"/>
    <col min="294" max="294" width="4.140625" style="43" customWidth="1"/>
  </cols>
  <sheetData>
    <row r="1" spans="1:294" s="44" customFormat="1" x14ac:dyDescent="0.3">
      <c r="A1" s="2"/>
      <c r="B1" s="1000" t="s">
        <v>274</v>
      </c>
      <c r="C1" s="1000"/>
      <c r="D1" s="1000"/>
      <c r="E1" s="1000"/>
      <c r="F1" s="1000"/>
      <c r="G1" s="712"/>
      <c r="H1" s="92"/>
      <c r="I1" s="712"/>
      <c r="J1" s="1000" t="s">
        <v>275</v>
      </c>
      <c r="K1" s="1000"/>
      <c r="L1" s="1000"/>
      <c r="M1" s="1000"/>
      <c r="N1" s="1000"/>
      <c r="O1" s="1000"/>
      <c r="P1" s="1000"/>
      <c r="Q1" s="1000"/>
      <c r="R1" s="1000"/>
      <c r="S1" s="712"/>
      <c r="T1" s="92"/>
      <c r="U1" s="712"/>
      <c r="V1" s="998" t="s">
        <v>276</v>
      </c>
      <c r="W1" s="998"/>
      <c r="X1" s="998"/>
      <c r="Y1" s="998"/>
      <c r="Z1" s="998"/>
      <c r="AA1" s="712"/>
      <c r="AB1" s="92"/>
      <c r="AC1" s="712"/>
      <c r="AD1" s="1000" t="s">
        <v>277</v>
      </c>
      <c r="AE1" s="1000"/>
      <c r="AF1" s="1000"/>
      <c r="AG1" s="1000"/>
      <c r="AH1" s="713"/>
      <c r="AI1" s="92"/>
      <c r="AJ1" s="712"/>
      <c r="AK1" s="1001" t="s">
        <v>278</v>
      </c>
      <c r="AL1" s="1001"/>
      <c r="AM1" s="1001"/>
      <c r="AN1" s="25"/>
      <c r="AO1" s="92"/>
      <c r="AP1" s="25"/>
      <c r="AQ1" s="999" t="s">
        <v>279</v>
      </c>
      <c r="AR1" s="999"/>
      <c r="AS1" s="999"/>
      <c r="AT1" s="999"/>
      <c r="AU1" s="999"/>
      <c r="AV1" s="999"/>
      <c r="AW1" s="999"/>
      <c r="AX1" s="999"/>
      <c r="AY1" s="999"/>
      <c r="AZ1" s="999"/>
      <c r="BA1" s="999"/>
      <c r="BB1" s="712"/>
      <c r="BC1" s="92"/>
      <c r="BD1" s="712"/>
      <c r="BE1" s="1001" t="s">
        <v>280</v>
      </c>
      <c r="BF1" s="1001"/>
      <c r="BG1" s="1001"/>
      <c r="BH1" s="1001"/>
      <c r="BI1" s="712"/>
      <c r="BJ1" s="92"/>
      <c r="BK1" s="712"/>
      <c r="BL1" s="1002" t="s">
        <v>281</v>
      </c>
      <c r="BM1" s="1002"/>
      <c r="BN1" s="1002"/>
      <c r="BO1" s="1002"/>
      <c r="BP1" s="1002"/>
      <c r="BQ1" s="1002"/>
      <c r="BR1" s="1002"/>
      <c r="BS1" s="1002"/>
      <c r="BT1" s="1002"/>
      <c r="BU1" s="712"/>
      <c r="BV1" s="92"/>
      <c r="BW1" s="712"/>
      <c r="BX1" s="998" t="s">
        <v>282</v>
      </c>
      <c r="BY1" s="998"/>
      <c r="BZ1" s="998"/>
      <c r="CA1" s="998"/>
      <c r="CB1" s="998"/>
      <c r="CC1" s="998"/>
      <c r="CD1" s="998"/>
      <c r="CE1" s="998"/>
      <c r="CF1" s="712"/>
      <c r="CG1" s="92"/>
      <c r="CH1" s="712"/>
      <c r="CI1" s="998" t="s">
        <v>283</v>
      </c>
      <c r="CJ1" s="998"/>
      <c r="CK1" s="998"/>
      <c r="CL1" s="998"/>
      <c r="CM1" s="998"/>
      <c r="CN1" s="998"/>
      <c r="CO1" s="998"/>
      <c r="CP1" s="998"/>
      <c r="CQ1" s="998"/>
      <c r="CR1" s="998"/>
      <c r="CS1" s="712"/>
      <c r="CT1" s="92"/>
      <c r="CU1" s="712"/>
      <c r="CV1" s="998" t="s">
        <v>284</v>
      </c>
      <c r="CW1" s="998"/>
      <c r="CX1" s="998"/>
      <c r="CY1" s="998"/>
      <c r="CZ1" s="998"/>
      <c r="DA1" s="998"/>
      <c r="DB1" s="998"/>
      <c r="DC1" s="998"/>
      <c r="DD1" s="998"/>
      <c r="DE1" s="712"/>
      <c r="DF1" s="92"/>
      <c r="DG1" s="712"/>
      <c r="DH1" s="1003" t="s">
        <v>285</v>
      </c>
      <c r="DI1" s="1003"/>
      <c r="DJ1" s="1003"/>
      <c r="DK1" s="1003"/>
      <c r="DL1" s="1003"/>
      <c r="DM1" s="1003"/>
      <c r="DN1" s="1003"/>
      <c r="DO1" s="1003"/>
      <c r="DP1" s="1003"/>
      <c r="DQ1" s="1003"/>
      <c r="DR1" s="1003"/>
      <c r="DS1" s="1003"/>
      <c r="DT1" s="712"/>
      <c r="DU1" s="92"/>
      <c r="DV1" s="712"/>
      <c r="DW1" s="1003" t="s">
        <v>286</v>
      </c>
      <c r="DX1" s="1003"/>
      <c r="DY1" s="1003"/>
      <c r="DZ1" s="1003"/>
      <c r="EA1" s="1003"/>
      <c r="EB1" s="1003"/>
      <c r="EC1" s="712"/>
      <c r="ED1" s="92"/>
      <c r="EE1" s="712"/>
      <c r="EF1" s="1000" t="s">
        <v>287</v>
      </c>
      <c r="EG1" s="1000"/>
      <c r="EH1" s="1000"/>
      <c r="EI1" s="1000"/>
      <c r="EJ1" s="1000"/>
      <c r="EK1" s="712"/>
      <c r="EL1" s="92"/>
      <c r="EM1" s="712"/>
      <c r="EN1" s="1003" t="s">
        <v>288</v>
      </c>
      <c r="EO1" s="1003"/>
      <c r="EP1" s="1003"/>
      <c r="EQ1" s="1003"/>
      <c r="ER1" s="1003"/>
      <c r="ES1" s="1003"/>
      <c r="ET1" s="1003"/>
      <c r="EU1" s="1003"/>
      <c r="EV1" s="1003"/>
      <c r="EW1" s="1003"/>
      <c r="EX1" s="1003"/>
      <c r="EY1" s="1003"/>
      <c r="EZ1" s="712"/>
      <c r="FA1" s="92"/>
      <c r="FB1" s="712"/>
      <c r="FC1" s="1000" t="s">
        <v>289</v>
      </c>
      <c r="FD1" s="1000"/>
      <c r="FE1" s="1000"/>
      <c r="FF1" s="712"/>
      <c r="FG1" s="92"/>
      <c r="FH1" s="712"/>
      <c r="FI1" s="1003" t="s">
        <v>290</v>
      </c>
      <c r="FJ1" s="1003"/>
      <c r="FK1" s="1003"/>
      <c r="FL1" s="1003"/>
      <c r="FM1" s="1003"/>
      <c r="FN1" s="1003"/>
      <c r="FO1" s="712"/>
      <c r="FP1" s="92"/>
      <c r="FQ1" s="25"/>
      <c r="FR1" s="998" t="s">
        <v>291</v>
      </c>
      <c r="FS1" s="998"/>
      <c r="FT1" s="998"/>
      <c r="FU1" s="998"/>
      <c r="FV1" s="998"/>
      <c r="FW1" s="998"/>
      <c r="FX1" s="998"/>
      <c r="FY1" s="998"/>
      <c r="FZ1" s="998"/>
      <c r="GA1" s="998"/>
      <c r="GB1" s="998"/>
      <c r="GC1" s="998"/>
      <c r="GD1" s="714"/>
      <c r="GE1" s="92"/>
      <c r="GF1" s="25"/>
      <c r="GG1" s="999" t="s">
        <v>292</v>
      </c>
      <c r="GH1" s="999"/>
      <c r="GI1" s="999"/>
      <c r="GJ1" s="999"/>
      <c r="GK1" s="999"/>
      <c r="GL1" s="999"/>
      <c r="GM1" s="999"/>
      <c r="GN1" s="999"/>
      <c r="GO1" s="999"/>
      <c r="GP1" s="999"/>
      <c r="GQ1" s="999"/>
      <c r="GR1" s="999"/>
      <c r="GS1" s="78"/>
      <c r="GT1" s="92"/>
      <c r="GU1" s="25"/>
      <c r="GV1" s="1000" t="s">
        <v>293</v>
      </c>
      <c r="GW1" s="1000"/>
      <c r="GX1" s="1000"/>
      <c r="GY1" s="1000"/>
      <c r="GZ1" s="1000"/>
      <c r="HA1" s="1000"/>
      <c r="HB1" s="1000"/>
      <c r="HC1" s="1000"/>
      <c r="HD1" s="1000"/>
      <c r="HE1" s="715"/>
      <c r="HF1" s="92"/>
      <c r="HG1" s="25"/>
      <c r="HH1" s="1000" t="s">
        <v>294</v>
      </c>
      <c r="HI1" s="1000"/>
      <c r="HJ1" s="1000"/>
      <c r="HK1" s="1000"/>
      <c r="HL1" s="1000"/>
      <c r="HM1" s="1000"/>
      <c r="HN1" s="715"/>
      <c r="HO1" s="92"/>
      <c r="HP1" s="25"/>
      <c r="HQ1" s="998" t="s">
        <v>295</v>
      </c>
      <c r="HR1" s="998"/>
      <c r="HS1" s="998"/>
      <c r="HT1" s="998"/>
      <c r="HU1" s="998"/>
      <c r="HV1" s="998"/>
      <c r="HW1" s="998"/>
      <c r="HX1" s="998"/>
      <c r="HY1" s="998"/>
      <c r="HZ1" s="712"/>
      <c r="IA1" s="92"/>
      <c r="IB1" s="712"/>
      <c r="IC1" s="1001" t="s">
        <v>296</v>
      </c>
      <c r="ID1" s="1001"/>
      <c r="IE1" s="1001"/>
      <c r="IF1" s="1001"/>
      <c r="IG1" s="1001"/>
      <c r="IH1" s="1001"/>
      <c r="II1" s="1001"/>
      <c r="IJ1" s="1001"/>
      <c r="IK1" s="1001"/>
      <c r="IL1" s="1001"/>
      <c r="IM1" s="712"/>
      <c r="IN1" s="92"/>
      <c r="IO1" s="712"/>
      <c r="IP1" s="1001" t="s">
        <v>297</v>
      </c>
      <c r="IQ1" s="1001"/>
      <c r="IR1" s="1001"/>
      <c r="IS1" s="1001"/>
      <c r="IT1" s="1001"/>
      <c r="IU1" s="1001"/>
      <c r="IV1" s="1001"/>
      <c r="IW1" s="1001"/>
      <c r="IX1" s="1001"/>
      <c r="IY1" s="1001"/>
      <c r="IZ1" s="1001"/>
      <c r="JA1" s="1001"/>
      <c r="JB1" s="1001"/>
      <c r="JC1" s="1001"/>
      <c r="JD1" s="25"/>
      <c r="JE1" s="92"/>
      <c r="JF1" s="25"/>
      <c r="JG1" s="998" t="s">
        <v>298</v>
      </c>
      <c r="JH1" s="998"/>
      <c r="JI1" s="998"/>
      <c r="JJ1" s="998"/>
      <c r="JK1" s="998"/>
      <c r="JL1" s="998"/>
      <c r="JM1" s="998"/>
      <c r="JN1" s="998"/>
      <c r="JO1" s="998"/>
      <c r="JP1" s="25"/>
      <c r="JQ1" s="25"/>
      <c r="JR1" s="92"/>
      <c r="JS1" s="712"/>
      <c r="JT1" s="935" t="s">
        <v>448</v>
      </c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40"/>
      <c r="KH1" s="41"/>
    </row>
    <row r="2" spans="1:294" ht="82.5" x14ac:dyDescent="0.3">
      <c r="B2" s="698"/>
      <c r="C2" s="711"/>
      <c r="D2" s="699" t="s">
        <v>299</v>
      </c>
      <c r="E2" s="699" t="s">
        <v>300</v>
      </c>
      <c r="F2" s="699" t="s">
        <v>301</v>
      </c>
      <c r="G2" s="6"/>
      <c r="I2" s="6"/>
      <c r="J2" s="698"/>
      <c r="K2" s="699" t="s">
        <v>302</v>
      </c>
      <c r="L2" s="699" t="s">
        <v>303</v>
      </c>
      <c r="M2" s="699" t="s">
        <v>304</v>
      </c>
      <c r="N2" s="699" t="s">
        <v>305</v>
      </c>
      <c r="O2" s="699" t="s">
        <v>306</v>
      </c>
      <c r="P2" s="699" t="s">
        <v>307</v>
      </c>
      <c r="Q2" s="699" t="s">
        <v>308</v>
      </c>
      <c r="R2" s="699" t="s">
        <v>309</v>
      </c>
      <c r="S2" s="6"/>
      <c r="U2" s="6"/>
      <c r="V2" s="729"/>
      <c r="W2" s="160" t="s">
        <v>302</v>
      </c>
      <c r="X2" s="160" t="s">
        <v>303</v>
      </c>
      <c r="Y2" s="160" t="s">
        <v>310</v>
      </c>
      <c r="Z2" s="160" t="s">
        <v>311</v>
      </c>
      <c r="AA2" s="6"/>
      <c r="AC2" s="6"/>
      <c r="AD2" s="700"/>
      <c r="AE2" s="701" t="s">
        <v>302</v>
      </c>
      <c r="AF2" s="699" t="s">
        <v>303</v>
      </c>
      <c r="AG2" s="701" t="s">
        <v>312</v>
      </c>
      <c r="AH2" s="6"/>
      <c r="AJ2" s="6"/>
      <c r="AK2" s="698"/>
      <c r="AL2" s="699"/>
      <c r="AM2" s="699" t="s">
        <v>129</v>
      </c>
      <c r="AN2" s="46"/>
      <c r="AP2" s="46"/>
      <c r="AQ2" s="698"/>
      <c r="AR2" s="699" t="s">
        <v>302</v>
      </c>
      <c r="AS2" s="699" t="s">
        <v>303</v>
      </c>
      <c r="AT2" s="699" t="s">
        <v>313</v>
      </c>
      <c r="AU2" s="699" t="s">
        <v>314</v>
      </c>
      <c r="AV2" s="699" t="s">
        <v>315</v>
      </c>
      <c r="AW2" s="699" t="s">
        <v>316</v>
      </c>
      <c r="AX2" s="699" t="s">
        <v>317</v>
      </c>
      <c r="AY2" s="699" t="s">
        <v>318</v>
      </c>
      <c r="AZ2" s="47" t="s">
        <v>319</v>
      </c>
      <c r="BA2" s="47" t="s">
        <v>320</v>
      </c>
      <c r="BB2" s="6"/>
      <c r="BD2" s="9"/>
      <c r="BE2" s="698"/>
      <c r="BF2" s="699" t="s">
        <v>321</v>
      </c>
      <c r="BG2" s="699" t="s">
        <v>322</v>
      </c>
      <c r="BH2" s="699" t="s">
        <v>323</v>
      </c>
      <c r="BI2" s="6"/>
      <c r="BK2" s="6"/>
      <c r="BL2" s="698"/>
      <c r="BM2" s="699" t="s">
        <v>302</v>
      </c>
      <c r="BN2" s="699" t="s">
        <v>303</v>
      </c>
      <c r="BO2" s="699" t="str">
        <f>BF4</f>
        <v>Direct and Collector Labour Allocator</v>
      </c>
      <c r="BP2" s="699" t="s">
        <v>324</v>
      </c>
      <c r="BQ2" s="699" t="str">
        <f>BF5</f>
        <v>Volume Allocator</v>
      </c>
      <c r="BR2" s="699" t="s">
        <v>325</v>
      </c>
      <c r="BS2" s="699" t="s">
        <v>326</v>
      </c>
      <c r="BT2" s="699" t="s">
        <v>301</v>
      </c>
      <c r="BU2" s="6"/>
      <c r="BW2" s="6"/>
      <c r="BX2" s="698"/>
      <c r="BY2" s="722"/>
      <c r="BZ2" s="699" t="s">
        <v>327</v>
      </c>
      <c r="CA2" s="699" t="s">
        <v>328</v>
      </c>
      <c r="CB2" s="699" t="s">
        <v>329</v>
      </c>
      <c r="CC2" s="699" t="s">
        <v>330</v>
      </c>
      <c r="CD2" s="699" t="s">
        <v>331</v>
      </c>
      <c r="CE2" s="699" t="s">
        <v>332</v>
      </c>
      <c r="CF2" s="6"/>
      <c r="CH2" s="6"/>
      <c r="CI2" s="698"/>
      <c r="CJ2" s="699" t="s">
        <v>302</v>
      </c>
      <c r="CK2" s="699" t="s">
        <v>303</v>
      </c>
      <c r="CL2" s="699" t="s">
        <v>333</v>
      </c>
      <c r="CM2" s="699" t="s">
        <v>334</v>
      </c>
      <c r="CN2" s="699" t="s">
        <v>335</v>
      </c>
      <c r="CO2" s="699" t="s">
        <v>336</v>
      </c>
      <c r="CP2" s="699" t="s">
        <v>337</v>
      </c>
      <c r="CQ2" s="699" t="s">
        <v>338</v>
      </c>
      <c r="CR2" s="699" t="s">
        <v>301</v>
      </c>
      <c r="CS2" s="6"/>
      <c r="CU2" s="6"/>
      <c r="CV2" s="698"/>
      <c r="CW2" s="699" t="s">
        <v>339</v>
      </c>
      <c r="CX2" s="699" t="s">
        <v>338</v>
      </c>
      <c r="CY2" s="699" t="s">
        <v>308</v>
      </c>
      <c r="CZ2" s="723" t="s">
        <v>333</v>
      </c>
      <c r="DA2" s="699" t="str">
        <f>CX2</f>
        <v>Building Allocator</v>
      </c>
      <c r="DB2" s="699" t="str">
        <f>CY2</f>
        <v>Pallet Allocator</v>
      </c>
      <c r="DC2" s="699" t="str">
        <f>CZ2</f>
        <v>Volume Allocator</v>
      </c>
      <c r="DD2" s="699" t="s">
        <v>340</v>
      </c>
      <c r="DE2" s="6"/>
      <c r="DG2" s="6"/>
      <c r="DH2" s="698"/>
      <c r="DI2" s="699" t="s">
        <v>302</v>
      </c>
      <c r="DJ2" s="699" t="s">
        <v>303</v>
      </c>
      <c r="DK2" s="699" t="s">
        <v>338</v>
      </c>
      <c r="DL2" s="699" t="s">
        <v>341</v>
      </c>
      <c r="DM2" s="699" t="s">
        <v>308</v>
      </c>
      <c r="DN2" s="699" t="s">
        <v>342</v>
      </c>
      <c r="DO2" s="699" t="s">
        <v>333</v>
      </c>
      <c r="DP2" s="699" t="s">
        <v>343</v>
      </c>
      <c r="DQ2" s="699" t="s">
        <v>344</v>
      </c>
      <c r="DR2" s="699" t="s">
        <v>345</v>
      </c>
      <c r="DS2" s="699" t="s">
        <v>301</v>
      </c>
      <c r="DT2" s="6"/>
      <c r="DV2" s="6"/>
      <c r="DW2" s="698"/>
      <c r="DX2" s="699" t="s">
        <v>302</v>
      </c>
      <c r="DY2" s="699" t="s">
        <v>303</v>
      </c>
      <c r="DZ2" s="699" t="s">
        <v>308</v>
      </c>
      <c r="EA2" s="699" t="s">
        <v>346</v>
      </c>
      <c r="EB2" s="699" t="s">
        <v>301</v>
      </c>
      <c r="EC2" s="6"/>
      <c r="EE2" s="6"/>
      <c r="EF2" s="724"/>
      <c r="EG2" s="699" t="s">
        <v>321</v>
      </c>
      <c r="EH2" s="699" t="s">
        <v>347</v>
      </c>
      <c r="EI2" s="699" t="s">
        <v>322</v>
      </c>
      <c r="EJ2" s="699" t="s">
        <v>323</v>
      </c>
      <c r="EK2" s="6"/>
      <c r="EM2" s="6"/>
      <c r="EN2" s="698"/>
      <c r="EO2" s="699" t="s">
        <v>302</v>
      </c>
      <c r="EP2" s="699" t="s">
        <v>303</v>
      </c>
      <c r="EQ2" s="699" t="s">
        <v>311</v>
      </c>
      <c r="ER2" s="699" t="s">
        <v>348</v>
      </c>
      <c r="ES2" s="699" t="s">
        <v>338</v>
      </c>
      <c r="ET2" s="699" t="s">
        <v>349</v>
      </c>
      <c r="EU2" s="699" t="s">
        <v>333</v>
      </c>
      <c r="EV2" s="699" t="s">
        <v>350</v>
      </c>
      <c r="EW2" s="699" t="s">
        <v>351</v>
      </c>
      <c r="EX2" s="699" t="s">
        <v>345</v>
      </c>
      <c r="EY2" s="699" t="s">
        <v>301</v>
      </c>
      <c r="EZ2" s="6"/>
      <c r="FB2" s="6"/>
      <c r="FC2" s="726"/>
      <c r="FD2" s="725" t="s">
        <v>128</v>
      </c>
      <c r="FE2" s="725" t="s">
        <v>352</v>
      </c>
      <c r="FF2" s="6"/>
      <c r="FH2" s="6"/>
      <c r="FI2" s="698"/>
      <c r="FJ2" s="699" t="s">
        <v>302</v>
      </c>
      <c r="FK2" s="699" t="s">
        <v>303</v>
      </c>
      <c r="FL2" s="699" t="str">
        <f>Z2</f>
        <v>Business Cost Allocator</v>
      </c>
      <c r="FM2" s="699" t="s">
        <v>353</v>
      </c>
      <c r="FN2" s="699" t="s">
        <v>301</v>
      </c>
      <c r="FO2" s="6"/>
      <c r="FR2" s="698"/>
      <c r="FS2" s="699" t="s">
        <v>302</v>
      </c>
      <c r="FT2" s="699" t="s">
        <v>303</v>
      </c>
      <c r="FU2" s="699" t="s">
        <v>354</v>
      </c>
      <c r="FV2" s="699" t="s">
        <v>49</v>
      </c>
      <c r="FW2" s="699" t="s">
        <v>355</v>
      </c>
      <c r="FX2" s="699" t="s">
        <v>53</v>
      </c>
      <c r="FY2" s="699" t="s">
        <v>51</v>
      </c>
      <c r="FZ2" s="699" t="s">
        <v>54</v>
      </c>
      <c r="GA2" s="699" t="s">
        <v>352</v>
      </c>
      <c r="GB2" s="699" t="s">
        <v>356</v>
      </c>
      <c r="GC2" s="699" t="s">
        <v>301</v>
      </c>
      <c r="GD2" s="6"/>
      <c r="GG2" s="698"/>
      <c r="GH2" s="699" t="s">
        <v>302</v>
      </c>
      <c r="GI2" s="699" t="s">
        <v>303</v>
      </c>
      <c r="GJ2" s="699" t="s">
        <v>357</v>
      </c>
      <c r="GK2" s="699" t="s">
        <v>358</v>
      </c>
      <c r="GL2" s="699" t="s">
        <v>359</v>
      </c>
      <c r="GM2" s="699" t="s">
        <v>360</v>
      </c>
      <c r="GN2" s="699" t="s">
        <v>361</v>
      </c>
      <c r="GO2" s="699" t="s">
        <v>362</v>
      </c>
      <c r="GP2" s="699" t="s">
        <v>363</v>
      </c>
      <c r="GQ2" s="699" t="s">
        <v>301</v>
      </c>
      <c r="GR2" s="699" t="s">
        <v>119</v>
      </c>
      <c r="GS2" s="48"/>
      <c r="GV2" s="698"/>
      <c r="GW2" s="699" t="s">
        <v>302</v>
      </c>
      <c r="GX2" s="699" t="s">
        <v>303</v>
      </c>
      <c r="GY2" s="699" t="s">
        <v>309</v>
      </c>
      <c r="GZ2" s="699" t="s">
        <v>356</v>
      </c>
      <c r="HA2" s="699" t="s">
        <v>119</v>
      </c>
      <c r="HB2" s="699" t="s">
        <v>364</v>
      </c>
      <c r="HC2" s="699" t="s">
        <v>365</v>
      </c>
      <c r="HD2" s="699" t="s">
        <v>366</v>
      </c>
      <c r="HE2" s="6"/>
      <c r="HH2" s="698"/>
      <c r="HI2" s="699" t="s">
        <v>309</v>
      </c>
      <c r="HJ2" s="699" t="s">
        <v>356</v>
      </c>
      <c r="HK2" s="699" t="s">
        <v>119</v>
      </c>
      <c r="HL2" s="699" t="s">
        <v>365</v>
      </c>
      <c r="HM2" s="699" t="s">
        <v>366</v>
      </c>
      <c r="HN2" s="6"/>
      <c r="HQ2" s="698"/>
      <c r="HR2" s="727" t="s">
        <v>302</v>
      </c>
      <c r="HS2" s="727" t="str">
        <f>FT2</f>
        <v>Container Stream</v>
      </c>
      <c r="HT2" s="727" t="s">
        <v>119</v>
      </c>
      <c r="HU2" s="727" t="s">
        <v>367</v>
      </c>
      <c r="HV2" s="727" t="s">
        <v>368</v>
      </c>
      <c r="HW2" s="727" t="s">
        <v>74</v>
      </c>
      <c r="HX2" s="727" t="s">
        <v>369</v>
      </c>
      <c r="HY2" s="727" t="s">
        <v>370</v>
      </c>
      <c r="HZ2" s="6"/>
      <c r="IC2" s="727" t="s">
        <v>371</v>
      </c>
      <c r="ID2" s="727" t="s">
        <v>372</v>
      </c>
      <c r="IE2" s="727" t="s">
        <v>373</v>
      </c>
      <c r="IF2" s="727" t="s">
        <v>374</v>
      </c>
      <c r="IG2" s="727" t="s">
        <v>375</v>
      </c>
      <c r="IH2" s="727" t="s">
        <v>299</v>
      </c>
      <c r="II2" s="727" t="s">
        <v>376</v>
      </c>
      <c r="IJ2" s="727" t="s">
        <v>377</v>
      </c>
      <c r="IK2" s="727" t="s">
        <v>378</v>
      </c>
      <c r="IL2" s="727" t="s">
        <v>379</v>
      </c>
      <c r="IM2" s="6"/>
      <c r="IO2" s="6"/>
      <c r="IP2" s="698"/>
      <c r="IQ2" s="727" t="s">
        <v>302</v>
      </c>
      <c r="IR2" s="727" t="s">
        <v>303</v>
      </c>
      <c r="IS2" s="727" t="s">
        <v>356</v>
      </c>
      <c r="IT2" s="727" t="s">
        <v>119</v>
      </c>
      <c r="IU2" s="727" t="s">
        <v>380</v>
      </c>
      <c r="IV2" s="727" t="s">
        <v>381</v>
      </c>
      <c r="IW2" s="727" t="s">
        <v>382</v>
      </c>
      <c r="IX2" s="727" t="s">
        <v>383</v>
      </c>
      <c r="IY2" s="728" t="s">
        <v>384</v>
      </c>
      <c r="IZ2" s="728" t="s">
        <v>385</v>
      </c>
      <c r="JA2" s="728" t="s">
        <v>386</v>
      </c>
      <c r="JB2" s="728" t="s">
        <v>387</v>
      </c>
      <c r="JC2" s="728" t="s">
        <v>388</v>
      </c>
      <c r="JG2" s="698"/>
      <c r="JH2" s="727" t="s">
        <v>302</v>
      </c>
      <c r="JI2" s="727" t="str">
        <f>FT2</f>
        <v>Container Stream</v>
      </c>
      <c r="JJ2" s="727" t="s">
        <v>119</v>
      </c>
      <c r="JK2" s="727" t="s">
        <v>389</v>
      </c>
      <c r="JL2" s="727" t="s">
        <v>390</v>
      </c>
      <c r="JM2" s="727" t="s">
        <v>74</v>
      </c>
      <c r="JN2" s="727" t="s">
        <v>369</v>
      </c>
      <c r="JO2" s="727" t="s">
        <v>370</v>
      </c>
      <c r="JT2" s="932" t="s">
        <v>446</v>
      </c>
      <c r="JU2" s="932" t="s">
        <v>134</v>
      </c>
      <c r="JV2" s="933" t="s">
        <v>119</v>
      </c>
      <c r="JW2" s="934" t="s">
        <v>447</v>
      </c>
      <c r="JX2" s="10" t="s">
        <v>451</v>
      </c>
      <c r="KH2" s="45"/>
    </row>
    <row r="3" spans="1:294" ht="18.75" customHeight="1" x14ac:dyDescent="0.3">
      <c r="B3" s="696" t="s">
        <v>135</v>
      </c>
      <c r="C3" s="696" t="s">
        <v>136</v>
      </c>
      <c r="D3" s="696" t="s">
        <v>137</v>
      </c>
      <c r="E3" s="696" t="s">
        <v>161</v>
      </c>
      <c r="F3" s="696" t="s">
        <v>139</v>
      </c>
      <c r="G3" s="8"/>
      <c r="H3" s="112"/>
      <c r="I3" s="8"/>
      <c r="J3" s="696" t="s">
        <v>135</v>
      </c>
      <c r="K3" s="696" t="s">
        <v>136</v>
      </c>
      <c r="L3" s="696" t="s">
        <v>137</v>
      </c>
      <c r="M3" s="696" t="s">
        <v>149</v>
      </c>
      <c r="N3" s="696" t="s">
        <v>139</v>
      </c>
      <c r="O3" s="696" t="s">
        <v>140</v>
      </c>
      <c r="P3" s="696" t="s">
        <v>141</v>
      </c>
      <c r="Q3" s="696" t="s">
        <v>142</v>
      </c>
      <c r="R3" s="696" t="s">
        <v>143</v>
      </c>
      <c r="S3" s="696"/>
      <c r="T3" s="112"/>
      <c r="U3" s="696"/>
      <c r="V3" s="696" t="s">
        <v>135</v>
      </c>
      <c r="W3" s="228" t="s">
        <v>136</v>
      </c>
      <c r="X3" s="228" t="s">
        <v>137</v>
      </c>
      <c r="Y3" s="228" t="s">
        <v>149</v>
      </c>
      <c r="Z3" s="228" t="s">
        <v>139</v>
      </c>
      <c r="AA3" s="696"/>
      <c r="AB3" s="112"/>
      <c r="AC3" s="696"/>
      <c r="AD3" s="696" t="s">
        <v>135</v>
      </c>
      <c r="AE3" s="696" t="s">
        <v>136</v>
      </c>
      <c r="AF3" s="696" t="s">
        <v>137</v>
      </c>
      <c r="AG3" s="696" t="s">
        <v>149</v>
      </c>
      <c r="AH3" s="696"/>
      <c r="AI3" s="112"/>
      <c r="AJ3" s="696"/>
      <c r="AK3" s="775" t="s">
        <v>135</v>
      </c>
      <c r="AL3" s="228" t="s">
        <v>136</v>
      </c>
      <c r="AM3" s="228" t="s">
        <v>137</v>
      </c>
      <c r="AN3" s="696"/>
      <c r="AO3" s="112"/>
      <c r="AP3" s="696"/>
      <c r="AQ3" s="775" t="s">
        <v>135</v>
      </c>
      <c r="AR3" s="228" t="s">
        <v>136</v>
      </c>
      <c r="AS3" s="228" t="s">
        <v>137</v>
      </c>
      <c r="AT3" s="228" t="s">
        <v>149</v>
      </c>
      <c r="AU3" s="782" t="s">
        <v>139</v>
      </c>
      <c r="AV3" s="228" t="s">
        <v>140</v>
      </c>
      <c r="AW3" s="228" t="s">
        <v>141</v>
      </c>
      <c r="AX3" s="228" t="s">
        <v>142</v>
      </c>
      <c r="AY3" s="228" t="s">
        <v>143</v>
      </c>
      <c r="AZ3" s="696" t="s">
        <v>145</v>
      </c>
      <c r="BA3" s="696" t="s">
        <v>144</v>
      </c>
      <c r="BB3" s="696"/>
      <c r="BC3" s="112"/>
      <c r="BD3" s="696"/>
      <c r="BE3" s="696" t="s">
        <v>135</v>
      </c>
      <c r="BF3" s="696" t="s">
        <v>136</v>
      </c>
      <c r="BG3" s="696" t="s">
        <v>149</v>
      </c>
      <c r="BH3" s="696" t="s">
        <v>139</v>
      </c>
      <c r="BI3" s="696"/>
      <c r="BJ3" s="112"/>
      <c r="BK3" s="696"/>
      <c r="BL3" s="696" t="s">
        <v>135</v>
      </c>
      <c r="BM3" s="228" t="s">
        <v>136</v>
      </c>
      <c r="BN3" s="228" t="s">
        <v>137</v>
      </c>
      <c r="BO3" s="228" t="s">
        <v>161</v>
      </c>
      <c r="BP3" s="228" t="s">
        <v>139</v>
      </c>
      <c r="BQ3" s="228" t="s">
        <v>140</v>
      </c>
      <c r="BR3" s="228" t="s">
        <v>141</v>
      </c>
      <c r="BS3" s="226" t="s">
        <v>142</v>
      </c>
      <c r="BT3" s="226" t="s">
        <v>143</v>
      </c>
      <c r="BU3" s="696"/>
      <c r="BV3" s="112"/>
      <c r="BW3" s="696"/>
      <c r="BX3" s="696" t="s">
        <v>135</v>
      </c>
      <c r="BY3" s="696" t="s">
        <v>136</v>
      </c>
      <c r="BZ3" s="696" t="s">
        <v>137</v>
      </c>
      <c r="CA3" s="696" t="s">
        <v>149</v>
      </c>
      <c r="CB3" s="696" t="s">
        <v>139</v>
      </c>
      <c r="CC3" s="696" t="s">
        <v>140</v>
      </c>
      <c r="CD3" s="696" t="s">
        <v>141</v>
      </c>
      <c r="CE3" s="696" t="s">
        <v>142</v>
      </c>
      <c r="CF3" s="696"/>
      <c r="CG3" s="112"/>
      <c r="CH3" s="696"/>
      <c r="CI3" s="696" t="s">
        <v>135</v>
      </c>
      <c r="CJ3" s="696" t="s">
        <v>136</v>
      </c>
      <c r="CK3" s="696" t="s">
        <v>137</v>
      </c>
      <c r="CL3" s="696" t="s">
        <v>149</v>
      </c>
      <c r="CM3" s="696" t="s">
        <v>139</v>
      </c>
      <c r="CN3" s="696" t="s">
        <v>140</v>
      </c>
      <c r="CO3" s="696" t="s">
        <v>141</v>
      </c>
      <c r="CP3" s="696" t="s">
        <v>142</v>
      </c>
      <c r="CQ3" s="696" t="s">
        <v>143</v>
      </c>
      <c r="CR3" s="696" t="s">
        <v>144</v>
      </c>
      <c r="CS3" s="696"/>
      <c r="CT3" s="112"/>
      <c r="CU3" s="696"/>
      <c r="CV3" s="696" t="s">
        <v>135</v>
      </c>
      <c r="CW3" s="696" t="s">
        <v>136</v>
      </c>
      <c r="CX3" s="696" t="s">
        <v>137</v>
      </c>
      <c r="CY3" s="696" t="s">
        <v>161</v>
      </c>
      <c r="CZ3" s="696" t="s">
        <v>139</v>
      </c>
      <c r="DA3" s="696" t="s">
        <v>162</v>
      </c>
      <c r="DB3" s="696" t="s">
        <v>391</v>
      </c>
      <c r="DC3" s="696" t="s">
        <v>142</v>
      </c>
      <c r="DD3" s="696" t="s">
        <v>392</v>
      </c>
      <c r="DE3" s="696"/>
      <c r="DF3" s="112"/>
      <c r="DG3" s="696"/>
      <c r="DH3" s="696" t="s">
        <v>135</v>
      </c>
      <c r="DI3" s="696" t="s">
        <v>136</v>
      </c>
      <c r="DJ3" s="696" t="s">
        <v>137</v>
      </c>
      <c r="DK3" s="696" t="s">
        <v>149</v>
      </c>
      <c r="DL3" s="696" t="s">
        <v>139</v>
      </c>
      <c r="DM3" s="696" t="s">
        <v>140</v>
      </c>
      <c r="DN3" s="696" t="s">
        <v>141</v>
      </c>
      <c r="DO3" s="696" t="s">
        <v>142</v>
      </c>
      <c r="DP3" s="696" t="s">
        <v>143</v>
      </c>
      <c r="DQ3" s="696" t="s">
        <v>144</v>
      </c>
      <c r="DR3" s="696" t="s">
        <v>145</v>
      </c>
      <c r="DS3" s="696" t="s">
        <v>146</v>
      </c>
      <c r="DT3" s="696"/>
      <c r="DU3" s="112"/>
      <c r="DV3" s="696"/>
      <c r="DW3" s="696" t="s">
        <v>135</v>
      </c>
      <c r="DX3" s="696" t="s">
        <v>136</v>
      </c>
      <c r="DY3" s="696" t="s">
        <v>137</v>
      </c>
      <c r="DZ3" s="696" t="s">
        <v>149</v>
      </c>
      <c r="EA3" s="696" t="s">
        <v>139</v>
      </c>
      <c r="EB3" s="696" t="s">
        <v>162</v>
      </c>
      <c r="EC3" s="696"/>
      <c r="ED3" s="112"/>
      <c r="EE3" s="696"/>
      <c r="EF3" s="696" t="s">
        <v>135</v>
      </c>
      <c r="EG3" s="696" t="s">
        <v>136</v>
      </c>
      <c r="EH3" s="696" t="s">
        <v>137</v>
      </c>
      <c r="EI3" s="696" t="s">
        <v>149</v>
      </c>
      <c r="EJ3" s="696" t="s">
        <v>139</v>
      </c>
      <c r="EK3" s="696"/>
      <c r="EL3" s="112"/>
      <c r="EM3" s="696"/>
      <c r="EN3" s="696" t="s">
        <v>135</v>
      </c>
      <c r="EO3" s="696" t="s">
        <v>136</v>
      </c>
      <c r="EP3" s="696" t="s">
        <v>137</v>
      </c>
      <c r="EQ3" s="696" t="s">
        <v>149</v>
      </c>
      <c r="ER3" s="696" t="s">
        <v>139</v>
      </c>
      <c r="ES3" s="696" t="s">
        <v>140</v>
      </c>
      <c r="ET3" s="696" t="s">
        <v>141</v>
      </c>
      <c r="EU3" s="696" t="s">
        <v>142</v>
      </c>
      <c r="EV3" s="696" t="s">
        <v>143</v>
      </c>
      <c r="EW3" s="696" t="s">
        <v>144</v>
      </c>
      <c r="EX3" s="696" t="s">
        <v>145</v>
      </c>
      <c r="EY3" s="696" t="s">
        <v>146</v>
      </c>
      <c r="EZ3" s="696"/>
      <c r="FA3" s="112"/>
      <c r="FB3" s="696"/>
      <c r="FC3" s="696" t="s">
        <v>135</v>
      </c>
      <c r="FD3" s="696" t="s">
        <v>136</v>
      </c>
      <c r="FE3" s="696" t="s">
        <v>137</v>
      </c>
      <c r="FF3" s="696"/>
      <c r="FG3" s="112"/>
      <c r="FH3" s="696"/>
      <c r="FI3" s="696" t="s">
        <v>135</v>
      </c>
      <c r="FJ3" s="696" t="s">
        <v>136</v>
      </c>
      <c r="FK3" s="696" t="s">
        <v>137</v>
      </c>
      <c r="FL3" s="696" t="s">
        <v>149</v>
      </c>
      <c r="FM3" s="696" t="s">
        <v>139</v>
      </c>
      <c r="FN3" s="696" t="s">
        <v>162</v>
      </c>
      <c r="FO3" s="696"/>
      <c r="FP3" s="112"/>
      <c r="FQ3" s="696"/>
      <c r="FR3" s="696" t="s">
        <v>135</v>
      </c>
      <c r="FS3" s="696" t="s">
        <v>136</v>
      </c>
      <c r="FT3" s="696" t="s">
        <v>137</v>
      </c>
      <c r="FU3" s="696" t="s">
        <v>149</v>
      </c>
      <c r="FV3" s="696" t="s">
        <v>139</v>
      </c>
      <c r="FW3" s="696" t="s">
        <v>140</v>
      </c>
      <c r="FX3" s="696" t="s">
        <v>141</v>
      </c>
      <c r="FY3" s="696" t="s">
        <v>142</v>
      </c>
      <c r="FZ3" s="696" t="s">
        <v>143</v>
      </c>
      <c r="GA3" s="696" t="s">
        <v>144</v>
      </c>
      <c r="GB3" s="696" t="s">
        <v>145</v>
      </c>
      <c r="GC3" s="696" t="s">
        <v>146</v>
      </c>
      <c r="GD3" s="696"/>
      <c r="GE3" s="112"/>
      <c r="GF3" s="696"/>
      <c r="GG3" s="696" t="s">
        <v>135</v>
      </c>
      <c r="GH3" s="696" t="s">
        <v>136</v>
      </c>
      <c r="GI3" s="696" t="s">
        <v>137</v>
      </c>
      <c r="GJ3" s="696" t="s">
        <v>149</v>
      </c>
      <c r="GK3" s="696" t="s">
        <v>139</v>
      </c>
      <c r="GL3" s="696" t="s">
        <v>140</v>
      </c>
      <c r="GM3" s="696" t="s">
        <v>141</v>
      </c>
      <c r="GN3" s="696" t="s">
        <v>142</v>
      </c>
      <c r="GO3" s="696" t="s">
        <v>143</v>
      </c>
      <c r="GP3" s="696" t="s">
        <v>144</v>
      </c>
      <c r="GQ3" s="696" t="s">
        <v>145</v>
      </c>
      <c r="GR3" s="696" t="s">
        <v>146</v>
      </c>
      <c r="GS3" s="716"/>
      <c r="GT3" s="112"/>
      <c r="GU3" s="696"/>
      <c r="GV3" s="696" t="s">
        <v>135</v>
      </c>
      <c r="GW3" s="696" t="s">
        <v>136</v>
      </c>
      <c r="GX3" s="696" t="s">
        <v>137</v>
      </c>
      <c r="GY3" s="696" t="s">
        <v>149</v>
      </c>
      <c r="GZ3" s="696" t="s">
        <v>139</v>
      </c>
      <c r="HA3" s="696" t="s">
        <v>140</v>
      </c>
      <c r="HB3" s="696" t="s">
        <v>141</v>
      </c>
      <c r="HC3" s="696" t="s">
        <v>142</v>
      </c>
      <c r="HD3" s="696" t="s">
        <v>143</v>
      </c>
      <c r="HE3" s="696"/>
      <c r="HF3" s="112"/>
      <c r="HG3" s="696"/>
      <c r="HH3" s="696" t="s">
        <v>135</v>
      </c>
      <c r="HI3" s="696" t="s">
        <v>136</v>
      </c>
      <c r="HJ3" s="696" t="s">
        <v>137</v>
      </c>
      <c r="HK3" s="696" t="s">
        <v>149</v>
      </c>
      <c r="HL3" s="696" t="s">
        <v>139</v>
      </c>
      <c r="HM3" s="696" t="s">
        <v>140</v>
      </c>
      <c r="HN3" s="696"/>
      <c r="HO3" s="112"/>
      <c r="HP3" s="696"/>
      <c r="HQ3" s="696" t="s">
        <v>135</v>
      </c>
      <c r="HR3" s="696" t="s">
        <v>136</v>
      </c>
      <c r="HS3" s="696" t="s">
        <v>137</v>
      </c>
      <c r="HT3" s="696" t="s">
        <v>149</v>
      </c>
      <c r="HU3" s="696" t="s">
        <v>139</v>
      </c>
      <c r="HV3" s="696"/>
      <c r="HW3" s="696"/>
      <c r="HX3" s="696" t="s">
        <v>142</v>
      </c>
      <c r="HY3" s="696" t="s">
        <v>143</v>
      </c>
      <c r="HZ3" s="696"/>
      <c r="IA3" s="112"/>
      <c r="IB3" s="696"/>
      <c r="IC3" s="696" t="s">
        <v>136</v>
      </c>
      <c r="ID3" s="696" t="s">
        <v>137</v>
      </c>
      <c r="IE3" s="696" t="s">
        <v>149</v>
      </c>
      <c r="IF3" s="696" t="s">
        <v>139</v>
      </c>
      <c r="IG3" s="696" t="s">
        <v>140</v>
      </c>
      <c r="IH3" s="696" t="s">
        <v>141</v>
      </c>
      <c r="II3" s="696" t="s">
        <v>142</v>
      </c>
      <c r="IJ3" s="696" t="s">
        <v>143</v>
      </c>
      <c r="IK3" s="696" t="s">
        <v>144</v>
      </c>
      <c r="IL3" s="696" t="s">
        <v>145</v>
      </c>
      <c r="IM3" s="696"/>
      <c r="IN3" s="112"/>
      <c r="IO3" s="696"/>
      <c r="IP3" s="696" t="s">
        <v>135</v>
      </c>
      <c r="IQ3" s="696" t="s">
        <v>136</v>
      </c>
      <c r="IR3" s="696" t="s">
        <v>137</v>
      </c>
      <c r="IS3" s="696" t="s">
        <v>149</v>
      </c>
      <c r="IT3" s="696" t="s">
        <v>139</v>
      </c>
      <c r="IU3" s="696" t="s">
        <v>140</v>
      </c>
      <c r="IV3" s="696" t="s">
        <v>141</v>
      </c>
      <c r="IW3" s="696" t="s">
        <v>142</v>
      </c>
      <c r="IX3" s="696" t="s">
        <v>143</v>
      </c>
      <c r="IY3" s="696" t="s">
        <v>144</v>
      </c>
      <c r="IZ3" s="696" t="s">
        <v>145</v>
      </c>
      <c r="JA3" s="696" t="s">
        <v>146</v>
      </c>
      <c r="JB3" s="696" t="s">
        <v>147</v>
      </c>
      <c r="JC3" s="696" t="s">
        <v>148</v>
      </c>
      <c r="JD3" s="696"/>
      <c r="JE3" s="112"/>
      <c r="JF3" s="696"/>
      <c r="JG3" s="696" t="s">
        <v>135</v>
      </c>
      <c r="JH3" s="696" t="s">
        <v>136</v>
      </c>
      <c r="JI3" s="696" t="s">
        <v>137</v>
      </c>
      <c r="JJ3" s="696" t="s">
        <v>149</v>
      </c>
      <c r="JK3" s="696" t="s">
        <v>139</v>
      </c>
      <c r="JL3" s="696" t="s">
        <v>140</v>
      </c>
      <c r="JM3" s="696" t="s">
        <v>141</v>
      </c>
      <c r="JN3" s="696" t="s">
        <v>142</v>
      </c>
      <c r="JO3" s="696" t="s">
        <v>143</v>
      </c>
      <c r="JP3" s="696"/>
      <c r="JR3" s="112"/>
      <c r="JT3" s="936">
        <v>3.3121089265402568</v>
      </c>
      <c r="JU3" s="936">
        <f>JK4-JT3</f>
        <v>1.8025413285993608E-5</v>
      </c>
      <c r="JV3" s="13">
        <v>1110736372</v>
      </c>
      <c r="JW3" s="13">
        <f>JJ4-JV3</f>
        <v>-1671364.0387701988</v>
      </c>
      <c r="JX3" s="935" t="s">
        <v>459</v>
      </c>
      <c r="JY3" s="912">
        <f>-SUMPRODUCT(JT3:JT26,JW3:JW26)/100</f>
        <v>-29100.683485798356</v>
      </c>
      <c r="KH3" s="50"/>
    </row>
    <row r="4" spans="1:294" ht="17.25" thickBot="1" x14ac:dyDescent="0.35">
      <c r="B4" s="756">
        <v>1</v>
      </c>
      <c r="C4" s="764" t="s">
        <v>47</v>
      </c>
      <c r="D4" s="906">
        <f>'DCA 8 month Phase I'!LJ27</f>
        <v>34063401.138201751</v>
      </c>
      <c r="E4" s="765">
        <v>0.29875344528702852</v>
      </c>
      <c r="F4" s="766">
        <v>1.545488877705318</v>
      </c>
      <c r="H4" s="152"/>
      <c r="J4" s="756">
        <v>1</v>
      </c>
      <c r="K4" s="757">
        <v>1</v>
      </c>
      <c r="L4" s="732" t="s">
        <v>398</v>
      </c>
      <c r="M4" s="904">
        <v>1109065007.9612298</v>
      </c>
      <c r="N4" s="944">
        <f>M4/$M$28</f>
        <v>0.50319333278025324</v>
      </c>
      <c r="O4" s="753">
        <v>2233.0532719472985</v>
      </c>
      <c r="P4" s="948">
        <f>IFERROR(M4/O4,0)</f>
        <v>496658.55351228919</v>
      </c>
      <c r="Q4" s="733">
        <f>P4/$P$28</f>
        <v>0.28128308445917899</v>
      </c>
      <c r="R4" s="758" t="s">
        <v>397</v>
      </c>
      <c r="T4" s="152"/>
      <c r="V4" s="730">
        <v>1</v>
      </c>
      <c r="W4" s="731">
        <f t="shared" ref="W4:W27" si="0">FS4</f>
        <v>1</v>
      </c>
      <c r="X4" s="732" t="s">
        <v>398</v>
      </c>
      <c r="Y4" s="924">
        <f>SUM(FU4:FY4)</f>
        <v>28657067.774363317</v>
      </c>
      <c r="Z4" s="944">
        <f>SUM(FU4:FY4)/SUM($FU$28:$FY$28)</f>
        <v>0.34240528862808672</v>
      </c>
      <c r="AB4" s="152"/>
      <c r="AD4" s="730">
        <v>1</v>
      </c>
      <c r="AE4" s="746">
        <v>1</v>
      </c>
      <c r="AF4" s="747" t="s">
        <v>398</v>
      </c>
      <c r="AG4" s="748">
        <v>1.94</v>
      </c>
      <c r="AI4" s="152"/>
      <c r="AK4" s="730">
        <v>1</v>
      </c>
      <c r="AL4" s="776" t="s">
        <v>394</v>
      </c>
      <c r="AM4" s="908">
        <f>'DCA 8 month Phase I'!LJ27+'DCA 8 month Phase I'!LL27</f>
        <v>36103775.415315069</v>
      </c>
      <c r="AN4" s="52"/>
      <c r="AO4" s="152"/>
      <c r="AP4" s="52"/>
      <c r="AQ4" s="730">
        <v>1</v>
      </c>
      <c r="AR4" s="783">
        <f t="shared" ref="AR4:AR27" si="1">FS4</f>
        <v>1</v>
      </c>
      <c r="AS4" s="732" t="s">
        <v>398</v>
      </c>
      <c r="AT4" s="732">
        <f t="shared" ref="AT4:AT27" si="2">VLOOKUP(AR4,$AE$4:$AG$27,$AT$30,FALSE)</f>
        <v>1.94</v>
      </c>
      <c r="AU4" s="784">
        <f>$M4</f>
        <v>1109065007.9612298</v>
      </c>
      <c r="AV4" s="784">
        <f>AU4*AT4/3600</f>
        <v>597662.80984577374</v>
      </c>
      <c r="AW4" s="785">
        <f t="shared" ref="AW4:AW27" si="3">AV4*$AM$5/$AV$28</f>
        <v>618557.85526409536</v>
      </c>
      <c r="AX4" s="786">
        <f t="shared" ref="AX4:AX27" si="4">$AM$6</f>
        <v>18.336776074005567</v>
      </c>
      <c r="AY4" s="379">
        <f>AW4*AX4</f>
        <v>11342356.880794862</v>
      </c>
      <c r="AZ4" s="51">
        <f>AY4/$AY$28</f>
        <v>0.3141598558687988</v>
      </c>
      <c r="BA4" s="53">
        <f t="shared" ref="BA4:BA27" si="5">IF($AU4=0,0,ROUND(IF(VLOOKUP(AR4,$AR$4:$AU$27,$BA$30,FALSE)&lt;&gt;0,AY4/VLOOKUP(AR4,$AR$4:$AU$27,$BA$30,FALSE)*100,""),6))</f>
        <v>1.0226949999999999</v>
      </c>
      <c r="BC4" s="152"/>
      <c r="BE4" s="756">
        <v>1</v>
      </c>
      <c r="BF4" s="732" t="str">
        <f>AZ2</f>
        <v>Direct and Collector Labour Allocator</v>
      </c>
      <c r="BG4" s="733">
        <v>0.5</v>
      </c>
      <c r="BH4" s="379">
        <f>BG4*$BH$6</f>
        <v>7855598.930964387</v>
      </c>
      <c r="BJ4" s="152"/>
      <c r="BL4" s="756">
        <v>1</v>
      </c>
      <c r="BM4" s="758">
        <f t="shared" ref="BM4:BM27" si="6">FS4</f>
        <v>1</v>
      </c>
      <c r="BN4" s="732" t="s">
        <v>398</v>
      </c>
      <c r="BO4" s="733">
        <f t="shared" ref="BO4:BO27" si="7">VLOOKUP(BM4,$AR$4:$AZ$28,$BO$30,FALSE)</f>
        <v>0.3141598558687988</v>
      </c>
      <c r="BP4" s="379">
        <f>BO4*$BP$28</f>
        <v>2467913.827914862</v>
      </c>
      <c r="BQ4" s="733">
        <f t="shared" ref="BQ4:BQ27" si="8">VLOOKUP(BM4,$K$4:$N$27,$BQ$30,FALSE)</f>
        <v>0.50319333278025324</v>
      </c>
      <c r="BR4" s="379">
        <f>BQ4*$BR$28</f>
        <v>3952885.0070569646</v>
      </c>
      <c r="BS4" s="807">
        <f t="shared" ref="BS4:BS27" si="9">BR4+BP4</f>
        <v>6420798.8349718265</v>
      </c>
      <c r="BT4" s="808">
        <f t="shared" ref="BT4:BT26" si="10">IF($AU4=0,0,ROUND(IF(VLOOKUP(BM4,$AR$4:$AU$27,$BA$30,FALSE)&lt;&gt;0,BS4/VLOOKUP(BM4,$AR$4:$AU$27,$BA$30,FALSE)*100,""),6))</f>
        <v>0.57893799999999995</v>
      </c>
      <c r="BV4" s="152"/>
      <c r="BX4" s="756">
        <v>1</v>
      </c>
      <c r="BY4" s="732" t="s">
        <v>395</v>
      </c>
      <c r="BZ4" s="765">
        <v>7.7020923698511642E-2</v>
      </c>
      <c r="CA4" s="821">
        <f>BZ4*$CA$9</f>
        <v>1752639.4670561224</v>
      </c>
      <c r="CB4" s="766">
        <v>1</v>
      </c>
      <c r="CC4" s="766"/>
      <c r="CD4" s="821">
        <f t="shared" ref="CD4:CE8" si="11">CB4*$CA4</f>
        <v>1752639.4670561224</v>
      </c>
      <c r="CE4" s="821">
        <f t="shared" si="11"/>
        <v>0</v>
      </c>
      <c r="CG4" s="152"/>
      <c r="CI4" s="730">
        <v>1</v>
      </c>
      <c r="CJ4" s="746">
        <f t="shared" ref="CJ4:CJ27" si="12">FS4</f>
        <v>1</v>
      </c>
      <c r="CK4" s="732" t="s">
        <v>398</v>
      </c>
      <c r="CL4" s="733">
        <f t="shared" ref="CL4:CL27" si="13">VLOOKUP(CJ4,$K$4:$N$27,$CL$31,FALSE)</f>
        <v>0.50319333278025324</v>
      </c>
      <c r="CM4" s="379">
        <f t="shared" ref="CM4:CM27" si="14">CL4*$CM$28</f>
        <v>2694217.9328255421</v>
      </c>
      <c r="CN4" s="733">
        <f t="shared" ref="CN4:CN27" si="15">VLOOKUP(CJ4,$K$4:$Q$27,$CN$31,FALSE)</f>
        <v>0.28128308445917899</v>
      </c>
      <c r="CO4" s="379">
        <f t="shared" ref="CO4:CO27" si="16">CN4*$CO$28</f>
        <v>4894642.9386354703</v>
      </c>
      <c r="CP4" s="379">
        <f t="shared" ref="CP4:CP27" si="17">CO4+CM4</f>
        <v>7588860.8714610124</v>
      </c>
      <c r="CQ4" s="733">
        <f t="shared" ref="CQ4:CQ27" si="18">CP4/$CP$28</f>
        <v>0.33349761039057019</v>
      </c>
      <c r="CR4" s="808">
        <f t="shared" ref="CR4:CR27" si="19">IF($AU4=0,0,ROUND(IF(VLOOKUP(CJ4,$AR$4:$AU$27,$BA$30,FALSE)&lt;&gt;0,CP4/VLOOKUP(CJ4,$AR$4:$AU$27,$BA$30,FALSE)*100,""),6))</f>
        <v>0.68425800000000003</v>
      </c>
      <c r="CT4" s="152"/>
      <c r="CV4" s="756">
        <v>1</v>
      </c>
      <c r="CW4" s="831" t="s">
        <v>393</v>
      </c>
      <c r="CX4" s="733">
        <v>0</v>
      </c>
      <c r="CY4" s="733">
        <v>0.5</v>
      </c>
      <c r="CZ4" s="832">
        <v>0.5</v>
      </c>
      <c r="DA4" s="906">
        <v>0</v>
      </c>
      <c r="DB4" s="906">
        <f>DD4*0.5</f>
        <v>1955203.5284778571</v>
      </c>
      <c r="DC4" s="906">
        <f>DB4</f>
        <v>1955203.5284778571</v>
      </c>
      <c r="DD4" s="906">
        <f>$DD$7*DD11</f>
        <v>3910407.0569557142</v>
      </c>
      <c r="DF4" s="152"/>
      <c r="DH4" s="730">
        <v>1</v>
      </c>
      <c r="DI4" s="840">
        <f t="shared" ref="DI4:DI27" si="20">FS4</f>
        <v>1</v>
      </c>
      <c r="DJ4" s="732" t="s">
        <v>398</v>
      </c>
      <c r="DK4" s="733">
        <f t="shared" ref="DK4:DK27" si="21">VLOOKUP(DI4,$CJ$4:$CQ$27,$DK$31,FALSE)</f>
        <v>0.33349761039057019</v>
      </c>
      <c r="DL4" s="379">
        <f>DK4*$DL$28</f>
        <v>105361.25113294678</v>
      </c>
      <c r="DM4" s="733">
        <f t="shared" ref="DM4:DM27" si="22">VLOOKUP(DI4,$K$4:$R$27,$DM$31,FALSE)</f>
        <v>0.28128308445917899</v>
      </c>
      <c r="DN4" s="379">
        <f t="shared" ref="DN4:DN27" si="23">DM4*$DN$28</f>
        <v>549965.67923572182</v>
      </c>
      <c r="DO4" s="733">
        <f t="shared" ref="DO4:DO27" si="24">VLOOKUP(DI4,$K$4:$R$27,$DO$31,FALSE)</f>
        <v>0.50319333278025324</v>
      </c>
      <c r="DP4" s="379">
        <f t="shared" ref="DP4:DP27" si="25">DO4*$DP$28</f>
        <v>1638055.5545203714</v>
      </c>
      <c r="DQ4" s="379">
        <f>DL4+DN4+DP4</f>
        <v>2293382.4848890398</v>
      </c>
      <c r="DR4" s="733">
        <f t="shared" ref="DR4:DR27" si="26">DQ4/$DQ$28</f>
        <v>0.41498278908677477</v>
      </c>
      <c r="DS4" s="808">
        <f t="shared" ref="DS4:DS27" si="27">IF($AU4=0,0,ROUND(IF(VLOOKUP(DI4,$AR$4:$AU$27,$BA$30,FALSE)&lt;&gt;0,DQ4/VLOOKUP(DI4,$AR$4:$AU$27,$BA$30,FALSE)*100,""),6))</f>
        <v>0.206785</v>
      </c>
      <c r="DU4" s="152"/>
      <c r="DW4" s="730">
        <v>1</v>
      </c>
      <c r="DX4" s="840">
        <f t="shared" ref="DX4:DX27" si="28">GH4</f>
        <v>1</v>
      </c>
      <c r="DY4" s="732" t="s">
        <v>398</v>
      </c>
      <c r="DZ4" s="733">
        <f t="shared" ref="DZ4:DZ27" si="29">VLOOKUP(DX4,$K$4:$R$27,$DZ$32,FALSE)</f>
        <v>0.28128308445917899</v>
      </c>
      <c r="EA4" s="379">
        <f t="shared" ref="EA4:EA27" si="30">DZ4*$EA$28</f>
        <v>1011668.7022465769</v>
      </c>
      <c r="EB4" s="808">
        <f t="shared" ref="EB4:EB27" si="31">IF($AU4=0,0,ROUND(IF(VLOOKUP(DX4,$AR$4:$AU$27,$BA$30,FALSE)&lt;&gt;0,EA4/VLOOKUP(DX4,$AR$4:$AU$27,$BA$30,FALSE)*100,""),6))</f>
        <v>9.1217999999999994E-2</v>
      </c>
      <c r="ED4" s="152"/>
      <c r="EF4" s="756">
        <v>1</v>
      </c>
      <c r="EG4" s="732" t="s">
        <v>396</v>
      </c>
      <c r="EH4" s="379">
        <v>6463181.7817969695</v>
      </c>
      <c r="EI4" s="765">
        <f>EH4/$EH$7</f>
        <v>0.66842565170833068</v>
      </c>
      <c r="EJ4" s="379">
        <f>EI4*$EJ$7</f>
        <v>7157639.056389316</v>
      </c>
      <c r="EL4" s="152"/>
      <c r="EN4" s="730">
        <v>1</v>
      </c>
      <c r="EO4" s="840">
        <f t="shared" ref="EO4:EO27" si="32">FS4</f>
        <v>1</v>
      </c>
      <c r="EP4" s="732" t="s">
        <v>398</v>
      </c>
      <c r="EQ4" s="733">
        <f t="shared" ref="EQ4:EQ27" si="33">VLOOKUP(EO4,$W$4:$Z$27,$EQ$31,FALSE)</f>
        <v>0.34240528862808672</v>
      </c>
      <c r="ER4" s="379">
        <f t="shared" ref="ER4:ER27" si="34">EQ4*$ER$28</f>
        <v>2450813.4669986502</v>
      </c>
      <c r="ES4" s="733">
        <f t="shared" ref="ES4:ES27" si="35">VLOOKUP(EO4,$CJ$4:$CQ$27,$ES$31,FALSE)</f>
        <v>0.33349761039057019</v>
      </c>
      <c r="ET4" s="379">
        <f t="shared" ref="ET4:ET27" si="36">ES4*$ET$28</f>
        <v>321840.97642289958</v>
      </c>
      <c r="EU4" s="733">
        <f t="shared" ref="EU4:EU27" si="37">VLOOKUP(EO4,$K$4:$N$27,$EU$31,FALSE)</f>
        <v>0.50319333278025324</v>
      </c>
      <c r="EV4" s="379">
        <f t="shared" ref="EV4:EV27" si="38">EU4*$EV$28</f>
        <v>1301015.8446358514</v>
      </c>
      <c r="EW4" s="379">
        <f t="shared" ref="EW4:EW27" si="39">ER4+ET4+EV4</f>
        <v>4073670.2880574008</v>
      </c>
      <c r="EX4" s="733">
        <f t="shared" ref="EX4:EX27" si="40">EW4/$EW$28</f>
        <v>0.38042512282160618</v>
      </c>
      <c r="EY4" s="808">
        <f t="shared" ref="EY4:EY27" si="41">IF($AU4=0,0,ROUND(IF(VLOOKUP(EO4,$AR$4:$AU$27,$BA$30,FALSE)&lt;&gt;0,EW4/VLOOKUP(EO4,$AR$4:$AU$27,$BA$30,FALSE)*100,""),6))</f>
        <v>0.36730699999999999</v>
      </c>
      <c r="FA4" s="152"/>
      <c r="FC4" s="756">
        <v>1</v>
      </c>
      <c r="FD4" s="764" t="s">
        <v>250</v>
      </c>
      <c r="FE4" s="379">
        <f>D11</f>
        <v>18998322.143907189</v>
      </c>
      <c r="FG4" s="152"/>
      <c r="FI4" s="730">
        <v>1</v>
      </c>
      <c r="FJ4" s="731">
        <f t="shared" ref="FJ4:FJ27" si="42">FS4</f>
        <v>1</v>
      </c>
      <c r="FK4" s="732" t="s">
        <v>398</v>
      </c>
      <c r="FL4" s="733">
        <f t="shared" ref="FL4:FL28" si="43">Z4</f>
        <v>0.34240528862808672</v>
      </c>
      <c r="FM4" s="379">
        <f t="shared" ref="FM4:FM27" si="44">Z4*$FM$28</f>
        <v>6435037.8101650719</v>
      </c>
      <c r="FN4" s="808">
        <f t="shared" ref="FN4:FN27" si="45">IF($AU4=0,0,ROUND(IF(VLOOKUP(FJ4,$AR$4:$AU$27,$BA$30,FALSE)&lt;&gt;0,FM4/VLOOKUP(FJ4,$AR$4:$AU$27,$BA$30,FALSE)*100,""),6))</f>
        <v>0.58022200000000002</v>
      </c>
      <c r="FP4" s="152"/>
      <c r="FR4" s="730">
        <v>1</v>
      </c>
      <c r="FS4" s="731">
        <v>1</v>
      </c>
      <c r="FT4" s="732" t="s">
        <v>398</v>
      </c>
      <c r="FU4" s="379">
        <f t="shared" ref="FU4:FU27" si="46">VLOOKUP(FS4,$AR$4:$BA$27,$FU$30,FALSE)</f>
        <v>11342356.880794862</v>
      </c>
      <c r="FV4" s="379">
        <f t="shared" ref="FV4:FV27" si="47">VLOOKUP(FS4,$BM$4:$BT$86,$FV$30,FALSE)</f>
        <v>6420798.8349718265</v>
      </c>
      <c r="FW4" s="379">
        <f t="shared" ref="FW4:FW27" si="48">VLOOKUP(FS4,$CJ$4:$CR$27,$FW$30,FALSE)</f>
        <v>7588860.8714610124</v>
      </c>
      <c r="FX4" s="379">
        <f t="shared" ref="FX4:FX27" si="49">VLOOKUP(FS4,$DI$4:$DQ$27,$FX$30,FALSE)</f>
        <v>2293382.4848890398</v>
      </c>
      <c r="FY4" s="379">
        <f t="shared" ref="FY4:FY27" si="50">VLOOKUP(FS4,$DX$4:$EB$27,$FY$30,FALSE)</f>
        <v>1011668.7022465769</v>
      </c>
      <c r="FZ4" s="379">
        <f t="shared" ref="FZ4:FZ27" si="51">VLOOKUP(FS4,$EO$4:$EW$28,$FZ$31,FALSE)</f>
        <v>4073670.2880574008</v>
      </c>
      <c r="GA4" s="379">
        <f t="shared" ref="GA4:GA27" si="52">VLOOKUP(FS4,$FJ$4:$FM$27,$GA$30,FALSE)</f>
        <v>6435037.8101650719</v>
      </c>
      <c r="GB4" s="379">
        <f t="shared" ref="GB4:GB23" si="53">SUM(FU4:GA4)</f>
        <v>39165775.872585788</v>
      </c>
      <c r="GC4" s="852">
        <f t="shared" ref="GC4:GC27" si="54">IF($AU4=0,0,ROUND(IF(VLOOKUP(FS4,$AR$4:$AU$27,$BA$30,FALSE)&lt;&gt;0,GB4/VLOOKUP(FS4,$AR$4:$AU$27,$BA$30,FALSE)*100,""),6))</f>
        <v>3.5314230000000002</v>
      </c>
      <c r="GE4" s="152"/>
      <c r="GG4" s="730">
        <v>1</v>
      </c>
      <c r="GH4" s="731">
        <f t="shared" ref="GH4:GH27" si="55">FS4</f>
        <v>1</v>
      </c>
      <c r="GI4" s="732" t="s">
        <v>398</v>
      </c>
      <c r="GJ4" s="808">
        <f t="shared" ref="GJ4:GJ27" si="56">VLOOKUP(GH4,$AR$4:$BA$27,$GJ$30,FALSE)</f>
        <v>1.0226949999999999</v>
      </c>
      <c r="GK4" s="808">
        <f t="shared" ref="GK4:GK27" si="57">VLOOKUP(GH4,$BM$4:$BT$27,$GK$30,FALSE)</f>
        <v>0.57893799999999995</v>
      </c>
      <c r="GL4" s="808">
        <f t="shared" ref="GL4:GL27" si="58">VLOOKUP(GH4,$CJ$4:$CR$27,$GL$30,FALSE)</f>
        <v>0.68425800000000003</v>
      </c>
      <c r="GM4" s="808">
        <f t="shared" ref="GM4:GM27" si="59">VLOOKUP(GH4,$DI$4:$DS$27,$GM$30,FALSE)</f>
        <v>0.206785</v>
      </c>
      <c r="GN4" s="808">
        <f t="shared" ref="GN4:GN27" si="60">VLOOKUP(GH4,$DX$4:$EB$27,$GN$30,FALSE)</f>
        <v>9.1217999999999994E-2</v>
      </c>
      <c r="GO4" s="808">
        <f t="shared" ref="GO4:GO27" si="61">VLOOKUP(GH4,$EO$4:$EY$28,$GO$30,FALSE)</f>
        <v>0.36730699999999999</v>
      </c>
      <c r="GP4" s="808">
        <f t="shared" ref="GP4:GP27" si="62">VLOOKUP(GH4,$FJ$4:$FN$27,$GP$30,FALSE)</f>
        <v>0.58022200000000002</v>
      </c>
      <c r="GQ4" s="808">
        <f t="shared" ref="GQ4:GQ27" si="63">VLOOKUP(GH4,$FS$4:$GC$27,$GQ$30,FALSE)</f>
        <v>3.5314230000000002</v>
      </c>
      <c r="GR4" s="784">
        <f>$M4</f>
        <v>1109065007.9612298</v>
      </c>
      <c r="GS4" s="716"/>
      <c r="GT4" s="152"/>
      <c r="GV4" s="717">
        <v>1</v>
      </c>
      <c r="GW4" s="731">
        <v>1</v>
      </c>
      <c r="GX4" s="732" t="s">
        <v>398</v>
      </c>
      <c r="GY4" s="758" t="s">
        <v>397</v>
      </c>
      <c r="GZ4" s="906">
        <f>GB4</f>
        <v>39165775.872585788</v>
      </c>
      <c r="HA4" s="784">
        <f>$M4</f>
        <v>1109065007.9612298</v>
      </c>
      <c r="HB4" s="922">
        <f>ROUND(IF(HA4&lt;&gt;0,GZ4/HA4*100,0),6)</f>
        <v>3.5314230000000002</v>
      </c>
      <c r="HC4" s="942">
        <f>ROUND(HB4,10)*HA4/100</f>
        <v>39165776.776094705</v>
      </c>
      <c r="HD4" s="857">
        <v>-3.4865899011492729</v>
      </c>
      <c r="HE4" s="54"/>
      <c r="HF4" s="152"/>
      <c r="HH4" s="756">
        <v>1</v>
      </c>
      <c r="HI4" s="732" t="s">
        <v>397</v>
      </c>
      <c r="HJ4" s="861">
        <v>110332325.27195437</v>
      </c>
      <c r="HK4" s="926">
        <f>HJ4/$HJ$6</f>
        <v>0.9815824312040301</v>
      </c>
      <c r="HL4" s="927">
        <f>SUMIF($GY$4:$GY$27,$HI4,HC$4:HC$27)</f>
        <v>111017658.70925367</v>
      </c>
      <c r="HM4" s="857">
        <v>-3.0492196594498182</v>
      </c>
      <c r="HN4" s="54"/>
      <c r="HO4" s="152"/>
      <c r="HQ4" s="730">
        <v>1</v>
      </c>
      <c r="HR4" s="867">
        <v>1</v>
      </c>
      <c r="HS4" s="732" t="s">
        <v>398</v>
      </c>
      <c r="HT4" s="784">
        <f>$M4</f>
        <v>1109065007.9612298</v>
      </c>
      <c r="HU4" s="917">
        <f>HB4</f>
        <v>3.5314230000000002</v>
      </c>
      <c r="HV4" s="868"/>
      <c r="HW4" s="765"/>
      <c r="HX4" s="868">
        <v>-0.76812300000000011</v>
      </c>
      <c r="HY4" s="766">
        <v>10</v>
      </c>
      <c r="IA4" s="152"/>
      <c r="IC4" s="876">
        <v>2112495296</v>
      </c>
      <c r="ID4" s="876">
        <f>M28</f>
        <v>2204053463.5731421</v>
      </c>
      <c r="IE4" s="877">
        <f>(ID4-IC4)/IC4</f>
        <v>4.3341240923237566E-2</v>
      </c>
      <c r="IF4" s="876">
        <v>1500000</v>
      </c>
      <c r="IG4" s="878">
        <f>HU28</f>
        <v>5.1357760431176906</v>
      </c>
      <c r="IH4" s="879">
        <f>IG4*ID4/100</f>
        <v>113195249.75969513</v>
      </c>
      <c r="II4" s="880">
        <v>1.4999999999999999E-2</v>
      </c>
      <c r="IJ4" s="940">
        <v>317261869.99999994</v>
      </c>
      <c r="IK4" s="877">
        <f>IJ4/ID4</f>
        <v>0.14394472513641524</v>
      </c>
      <c r="IL4" s="877">
        <f>SUM(HT8,HT15,HT17,HT23:HT24,HT27)/HT28</f>
        <v>1.5408213563060321E-2</v>
      </c>
      <c r="IN4" s="152"/>
      <c r="IP4" s="730">
        <v>1</v>
      </c>
      <c r="IQ4" s="867">
        <v>1</v>
      </c>
      <c r="IR4" s="732" t="s">
        <v>398</v>
      </c>
      <c r="IS4" s="913">
        <f>HC4</f>
        <v>39165776.776094705</v>
      </c>
      <c r="IT4" s="915">
        <f>$M4</f>
        <v>1109065007.9612298</v>
      </c>
      <c r="IU4" s="918">
        <f>HB4</f>
        <v>3.5314230000000002</v>
      </c>
      <c r="IV4" s="904">
        <f>IT4*$IK$4/(1-$IL$4)</f>
        <v>162142382.18167397</v>
      </c>
      <c r="IW4" s="904">
        <f>IT4-IV4</f>
        <v>946922625.7795558</v>
      </c>
      <c r="IX4" s="913">
        <f>IV4*$II$4</f>
        <v>2432135.7327251094</v>
      </c>
      <c r="IY4" s="881">
        <f>IS4-IX4</f>
        <v>36733641.043369599</v>
      </c>
      <c r="IZ4" s="928">
        <f>100*IY4/IT4</f>
        <v>3.3121269519535428</v>
      </c>
      <c r="JA4" s="928">
        <f>IZ4+1.5</f>
        <v>4.8121269519535428</v>
      </c>
      <c r="JB4" s="913">
        <f>(IV4*JA4+IW4*IZ4)/100</f>
        <v>39165776.776094705</v>
      </c>
      <c r="JC4" s="852">
        <v>0.22223277175728606</v>
      </c>
      <c r="JE4" s="152"/>
      <c r="JG4" s="730">
        <v>1</v>
      </c>
      <c r="JH4" s="867">
        <v>1</v>
      </c>
      <c r="JI4" s="732" t="s">
        <v>398</v>
      </c>
      <c r="JJ4" s="784">
        <f>$M4</f>
        <v>1109065007.9612298</v>
      </c>
      <c r="JK4" s="917">
        <f>IZ4</f>
        <v>3.3121269519535428</v>
      </c>
      <c r="JL4" s="868">
        <v>4.1070000000000002</v>
      </c>
      <c r="JM4" s="765"/>
      <c r="JN4" s="868"/>
      <c r="JO4" s="766">
        <v>10</v>
      </c>
      <c r="JR4" s="152"/>
      <c r="JT4" s="936">
        <v>40.789676926540267</v>
      </c>
      <c r="JU4" s="936">
        <f t="shared" ref="JU4:JU27" si="64">JK5-JT4</f>
        <v>1.3010254132836963E-3</v>
      </c>
      <c r="JV4" s="13">
        <v>986723</v>
      </c>
      <c r="JW4" s="13">
        <f t="shared" ref="JW4:JW27" si="65">JJ5-JV4</f>
        <v>27503.179992358317</v>
      </c>
      <c r="JX4" s="935" t="s">
        <v>460</v>
      </c>
      <c r="JY4" s="912">
        <f>-SUMPRODUCT(JU3:JU26,JJ4:JJ27)/100</f>
        <v>-2396.4517319250722</v>
      </c>
    </row>
    <row r="5" spans="1:294" x14ac:dyDescent="0.3">
      <c r="B5" s="338">
        <v>2</v>
      </c>
      <c r="C5" s="767" t="s">
        <v>58</v>
      </c>
      <c r="D5" s="906">
        <f>'DCA 8 month Phase I'!LL27</f>
        <v>2040374.277113318</v>
      </c>
      <c r="E5" s="768">
        <v>1.7895125694862252E-2</v>
      </c>
      <c r="F5" s="769">
        <v>9.2573719777447133E-2</v>
      </c>
      <c r="H5" s="225"/>
      <c r="J5" s="338">
        <v>2</v>
      </c>
      <c r="K5" s="759">
        <v>2</v>
      </c>
      <c r="L5" s="518" t="s">
        <v>403</v>
      </c>
      <c r="M5" s="904">
        <v>1014226.1799923583</v>
      </c>
      <c r="N5" s="943">
        <f t="shared" ref="N5:N27" si="66">M5/$M$28</f>
        <v>4.6016405534379676E-4</v>
      </c>
      <c r="O5" s="455">
        <v>109.75779727095517</v>
      </c>
      <c r="P5" s="948">
        <f t="shared" ref="P5:P27" si="67">IFERROR(M5/O5,0)</f>
        <v>9240.5843157418167</v>
      </c>
      <c r="Q5" s="659">
        <f t="shared" ref="Q5:Q27" si="68">P5/$P$28</f>
        <v>5.2334144658452075E-3</v>
      </c>
      <c r="R5" s="322" t="s">
        <v>397</v>
      </c>
      <c r="T5" s="225"/>
      <c r="V5" s="734">
        <f>+V4+1</f>
        <v>2</v>
      </c>
      <c r="W5" s="735">
        <f t="shared" si="0"/>
        <v>2</v>
      </c>
      <c r="X5" s="518" t="s">
        <v>403</v>
      </c>
      <c r="Y5" s="924">
        <f t="shared" ref="Y5:Y27" si="69">SUM(FU5:FY5)</f>
        <v>313554.89169423701</v>
      </c>
      <c r="Z5" s="943">
        <f t="shared" ref="Z5:Z27" si="70">SUM(FU5:FY5)/SUM($FU$28:$FY$28)</f>
        <v>3.746470296146655E-3</v>
      </c>
      <c r="AB5" s="225"/>
      <c r="AD5" s="734">
        <v>2</v>
      </c>
      <c r="AE5" s="146">
        <v>2</v>
      </c>
      <c r="AF5" s="347" t="s">
        <v>403</v>
      </c>
      <c r="AG5" s="369">
        <v>28.35</v>
      </c>
      <c r="AI5" s="225"/>
      <c r="AK5" s="734">
        <v>2</v>
      </c>
      <c r="AL5" s="777" t="s">
        <v>399</v>
      </c>
      <c r="AM5" s="778">
        <v>1968927.1041759744</v>
      </c>
      <c r="AN5" s="52"/>
      <c r="AO5" s="225"/>
      <c r="AP5" s="52"/>
      <c r="AQ5" s="734">
        <f t="shared" ref="AQ5:AQ27" si="71">+AQ4+1</f>
        <v>2</v>
      </c>
      <c r="AR5" s="787">
        <f t="shared" si="1"/>
        <v>2</v>
      </c>
      <c r="AS5" s="518" t="s">
        <v>403</v>
      </c>
      <c r="AT5" s="518">
        <f t="shared" si="2"/>
        <v>28.35</v>
      </c>
      <c r="AU5" s="788">
        <f t="shared" ref="AU5:AU27" si="72">$M5</f>
        <v>1014226.1799923583</v>
      </c>
      <c r="AV5" s="788">
        <f>AU5*AT5/3600</f>
        <v>7987.0311674398226</v>
      </c>
      <c r="AW5" s="789">
        <f t="shared" si="3"/>
        <v>8266.2678478085927</v>
      </c>
      <c r="AX5" s="790">
        <f t="shared" si="4"/>
        <v>18.336776074005567</v>
      </c>
      <c r="AY5" s="358">
        <f>AW5*AX5</f>
        <v>151576.70249301809</v>
      </c>
      <c r="AZ5" s="35">
        <f t="shared" ref="AZ5:AZ28" si="73">AY5/$AY$28</f>
        <v>4.1983615494328589E-3</v>
      </c>
      <c r="BA5" s="55">
        <f t="shared" si="5"/>
        <v>14.945059000000001</v>
      </c>
      <c r="BC5" s="225"/>
      <c r="BE5" s="338">
        <v>2</v>
      </c>
      <c r="BF5" s="565" t="s">
        <v>333</v>
      </c>
      <c r="BG5" s="697">
        <v>0.5</v>
      </c>
      <c r="BH5" s="804">
        <f>BG5*$BH$6</f>
        <v>7855598.930964387</v>
      </c>
      <c r="BJ5" s="225"/>
      <c r="BL5" s="338">
        <f>+BL4+1</f>
        <v>2</v>
      </c>
      <c r="BM5" s="322">
        <f t="shared" si="6"/>
        <v>2</v>
      </c>
      <c r="BN5" s="518" t="s">
        <v>403</v>
      </c>
      <c r="BO5" s="659">
        <f t="shared" si="7"/>
        <v>4.1983615494328589E-3</v>
      </c>
      <c r="BP5" s="358">
        <f t="shared" ref="BP5:BP27" si="74">BO5*$BP$28</f>
        <v>32980.644499526752</v>
      </c>
      <c r="BQ5" s="659">
        <f t="shared" si="8"/>
        <v>4.6016405534379676E-4</v>
      </c>
      <c r="BR5" s="358">
        <f t="shared" ref="BR5:BR27" si="75">BQ5*$BR$28</f>
        <v>3614.8642612269668</v>
      </c>
      <c r="BS5" s="809">
        <f t="shared" si="9"/>
        <v>36595.508760753721</v>
      </c>
      <c r="BT5" s="810">
        <f t="shared" si="10"/>
        <v>3.6082200000000002</v>
      </c>
      <c r="BV5" s="225"/>
      <c r="BX5" s="338">
        <f>+BX4+1</f>
        <v>2</v>
      </c>
      <c r="BY5" s="518" t="s">
        <v>400</v>
      </c>
      <c r="BZ5" s="822">
        <v>0.15827477051315791</v>
      </c>
      <c r="CA5" s="823">
        <f>BZ5*$CA$9</f>
        <v>3601600.6575882137</v>
      </c>
      <c r="CB5" s="824">
        <v>1</v>
      </c>
      <c r="CC5" s="824"/>
      <c r="CD5" s="823">
        <f>CB5*$CA5</f>
        <v>3601600.6575882137</v>
      </c>
      <c r="CE5" s="823">
        <f t="shared" si="11"/>
        <v>0</v>
      </c>
      <c r="CG5" s="225"/>
      <c r="CI5" s="734">
        <f>+CI4+1</f>
        <v>2</v>
      </c>
      <c r="CJ5" s="146">
        <f t="shared" si="12"/>
        <v>2</v>
      </c>
      <c r="CK5" s="518" t="s">
        <v>403</v>
      </c>
      <c r="CL5" s="344">
        <f t="shared" si="13"/>
        <v>4.6016405534379676E-4</v>
      </c>
      <c r="CM5" s="20">
        <f t="shared" si="14"/>
        <v>2463.8288490408136</v>
      </c>
      <c r="CN5" s="344">
        <f t="shared" si="15"/>
        <v>5.2334144658452075E-3</v>
      </c>
      <c r="CO5" s="20">
        <f t="shared" si="16"/>
        <v>91067.314657236086</v>
      </c>
      <c r="CP5" s="20">
        <f t="shared" si="17"/>
        <v>93531.143506276901</v>
      </c>
      <c r="CQ5" s="344">
        <f t="shared" si="18"/>
        <v>4.1102891968601415E-3</v>
      </c>
      <c r="CR5" s="342">
        <f t="shared" si="19"/>
        <v>9.2219219999999993</v>
      </c>
      <c r="CT5" s="225"/>
      <c r="CV5" s="338">
        <v>2</v>
      </c>
      <c r="CW5" s="104" t="s">
        <v>50</v>
      </c>
      <c r="CX5" s="344">
        <v>1</v>
      </c>
      <c r="CY5" s="344">
        <v>0</v>
      </c>
      <c r="CZ5" s="833">
        <v>0</v>
      </c>
      <c r="DA5" s="906">
        <f>DD5</f>
        <v>315928.05420570989</v>
      </c>
      <c r="DB5" s="906">
        <v>0</v>
      </c>
      <c r="DC5" s="906">
        <v>0</v>
      </c>
      <c r="DD5" s="906">
        <f t="shared" ref="DD5:DD6" si="76">$DD$7*DD12</f>
        <v>315928.05420570989</v>
      </c>
      <c r="DF5" s="225"/>
      <c r="DH5" s="734">
        <v>2</v>
      </c>
      <c r="DI5" s="745">
        <f t="shared" si="20"/>
        <v>2</v>
      </c>
      <c r="DJ5" s="518" t="s">
        <v>403</v>
      </c>
      <c r="DK5" s="344">
        <f t="shared" si="21"/>
        <v>4.1102891968601415E-3</v>
      </c>
      <c r="DL5" s="20">
        <f t="shared" ref="DL5:DL27" si="77">DK5*$DL$28</f>
        <v>1298.5556681867745</v>
      </c>
      <c r="DM5" s="344">
        <f t="shared" si="22"/>
        <v>5.2334144658452075E-3</v>
      </c>
      <c r="DN5" s="20">
        <f t="shared" si="23"/>
        <v>10232.390429607609</v>
      </c>
      <c r="DO5" s="344">
        <f t="shared" si="24"/>
        <v>4.6016405534379676E-4</v>
      </c>
      <c r="DP5" s="20">
        <f t="shared" si="25"/>
        <v>1497.9814670471844</v>
      </c>
      <c r="DQ5" s="20">
        <f t="shared" ref="DQ5:DQ27" si="78">DL5+DN5+DP5</f>
        <v>13028.927564841568</v>
      </c>
      <c r="DR5" s="344">
        <f t="shared" si="26"/>
        <v>2.3575573351991958E-3</v>
      </c>
      <c r="DS5" s="342">
        <f t="shared" si="27"/>
        <v>1.284618</v>
      </c>
      <c r="DU5" s="225"/>
      <c r="DW5" s="734">
        <f>+DW4+1</f>
        <v>2</v>
      </c>
      <c r="DX5" s="745">
        <f t="shared" si="28"/>
        <v>2</v>
      </c>
      <c r="DY5" s="518" t="s">
        <v>403</v>
      </c>
      <c r="DZ5" s="344">
        <f t="shared" si="29"/>
        <v>5.2334144658452075E-3</v>
      </c>
      <c r="EA5" s="20">
        <f t="shared" si="30"/>
        <v>18822.609369346708</v>
      </c>
      <c r="EB5" s="342">
        <f t="shared" si="31"/>
        <v>1.8558589999999999</v>
      </c>
      <c r="ED5" s="225"/>
      <c r="EF5" s="338">
        <v>2</v>
      </c>
      <c r="EG5" s="518" t="s">
        <v>50</v>
      </c>
      <c r="EH5" s="20">
        <v>871415.31349090894</v>
      </c>
      <c r="EI5" s="768">
        <f>EH5/$EH$7</f>
        <v>9.0122229034200738E-2</v>
      </c>
      <c r="EJ5" s="20">
        <f>EI5*$EJ$7</f>
        <v>965047.32386532205</v>
      </c>
      <c r="EL5" s="225"/>
      <c r="EN5" s="734">
        <f>+EN4+1</f>
        <v>2</v>
      </c>
      <c r="EO5" s="745">
        <f t="shared" si="32"/>
        <v>2</v>
      </c>
      <c r="EP5" s="518" t="s">
        <v>403</v>
      </c>
      <c r="EQ5" s="344">
        <f t="shared" si="33"/>
        <v>3.746470296146655E-3</v>
      </c>
      <c r="ER5" s="20">
        <f t="shared" si="34"/>
        <v>26815.882115301745</v>
      </c>
      <c r="ES5" s="344">
        <f t="shared" si="35"/>
        <v>4.1102891968601415E-3</v>
      </c>
      <c r="ET5" s="20">
        <f t="shared" si="36"/>
        <v>3966.6235897424235</v>
      </c>
      <c r="EU5" s="344">
        <f t="shared" si="37"/>
        <v>4.6016405534379676E-4</v>
      </c>
      <c r="EV5" s="20">
        <f t="shared" si="38"/>
        <v>1189.7628369325294</v>
      </c>
      <c r="EW5" s="20">
        <f t="shared" si="39"/>
        <v>31972.268541976697</v>
      </c>
      <c r="EX5" s="344">
        <f t="shared" si="40"/>
        <v>2.9857728600728313E-3</v>
      </c>
      <c r="EY5" s="342">
        <f t="shared" si="41"/>
        <v>3.1523810000000001</v>
      </c>
      <c r="FA5" s="225"/>
      <c r="FC5" s="456">
        <v>2</v>
      </c>
      <c r="FD5" s="851" t="s">
        <v>401</v>
      </c>
      <c r="FE5" s="458">
        <f>D12</f>
        <v>-204693.58767693696</v>
      </c>
      <c r="FG5" s="225"/>
      <c r="FI5" s="734">
        <f>+FI4+1</f>
        <v>2</v>
      </c>
      <c r="FJ5" s="735">
        <f t="shared" si="42"/>
        <v>2</v>
      </c>
      <c r="FK5" s="518" t="s">
        <v>403</v>
      </c>
      <c r="FL5" s="344">
        <f t="shared" si="43"/>
        <v>3.746470296146655E-3</v>
      </c>
      <c r="FM5" s="20">
        <f t="shared" si="44"/>
        <v>70409.771142730184</v>
      </c>
      <c r="FN5" s="342">
        <f t="shared" si="45"/>
        <v>6.9422160000000002</v>
      </c>
      <c r="FP5" s="225"/>
      <c r="FR5" s="734">
        <f>+FR4+1</f>
        <v>2</v>
      </c>
      <c r="FS5" s="735">
        <v>2</v>
      </c>
      <c r="FT5" s="518" t="s">
        <v>403</v>
      </c>
      <c r="FU5" s="20">
        <f t="shared" si="46"/>
        <v>151576.70249301809</v>
      </c>
      <c r="FV5" s="20">
        <f t="shared" si="47"/>
        <v>36595.508760753721</v>
      </c>
      <c r="FW5" s="20">
        <f t="shared" si="48"/>
        <v>93531.143506276901</v>
      </c>
      <c r="FX5" s="20">
        <f t="shared" si="49"/>
        <v>13028.927564841568</v>
      </c>
      <c r="FY5" s="20">
        <f t="shared" si="50"/>
        <v>18822.609369346708</v>
      </c>
      <c r="FZ5" s="20">
        <f t="shared" si="51"/>
        <v>31972.268541976697</v>
      </c>
      <c r="GA5" s="20">
        <f t="shared" si="52"/>
        <v>70409.771142730184</v>
      </c>
      <c r="GB5" s="20">
        <f t="shared" si="53"/>
        <v>415936.9313789439</v>
      </c>
      <c r="GC5" s="414">
        <f t="shared" si="54"/>
        <v>41.010274000000003</v>
      </c>
      <c r="GE5" s="225"/>
      <c r="GG5" s="734">
        <f t="shared" ref="GG5:GG27" si="79">+GG4+1</f>
        <v>2</v>
      </c>
      <c r="GH5" s="735">
        <f t="shared" si="55"/>
        <v>2</v>
      </c>
      <c r="GI5" s="518" t="s">
        <v>403</v>
      </c>
      <c r="GJ5" s="342">
        <f t="shared" si="56"/>
        <v>14.945059000000001</v>
      </c>
      <c r="GK5" s="342">
        <f t="shared" si="57"/>
        <v>3.6082200000000002</v>
      </c>
      <c r="GL5" s="342">
        <f t="shared" si="58"/>
        <v>9.2219219999999993</v>
      </c>
      <c r="GM5" s="342">
        <f t="shared" si="59"/>
        <v>1.284618</v>
      </c>
      <c r="GN5" s="342">
        <f t="shared" si="60"/>
        <v>1.8558589999999999</v>
      </c>
      <c r="GO5" s="342">
        <f t="shared" si="61"/>
        <v>3.1523810000000001</v>
      </c>
      <c r="GP5" s="342">
        <f t="shared" si="62"/>
        <v>6.9422160000000002</v>
      </c>
      <c r="GQ5" s="342">
        <f t="shared" si="63"/>
        <v>41.010274000000003</v>
      </c>
      <c r="GR5" s="788">
        <f t="shared" ref="GR5:GR27" si="80">$M5</f>
        <v>1014226.1799923583</v>
      </c>
      <c r="GS5" s="716"/>
      <c r="GT5" s="225"/>
      <c r="GV5" s="718">
        <f t="shared" ref="GV5:GV27" si="81">+GV4+1</f>
        <v>2</v>
      </c>
      <c r="GW5" s="735">
        <v>2</v>
      </c>
      <c r="GX5" s="518" t="s">
        <v>403</v>
      </c>
      <c r="GY5" s="322" t="s">
        <v>397</v>
      </c>
      <c r="GZ5" s="924">
        <f t="shared" ref="GZ5:GZ27" si="82">GB5</f>
        <v>415936.9313789439</v>
      </c>
      <c r="HA5" s="788">
        <f t="shared" ref="HA5:HA27" si="83">$M5</f>
        <v>1014226.1799923583</v>
      </c>
      <c r="HB5" s="922">
        <f t="shared" ref="HB5:HB7" si="84">ROUND(IF(HA5&lt;&gt;0,GZ5/HA5*100,0),6)</f>
        <v>41.010274000000003</v>
      </c>
      <c r="HC5" s="942">
        <f t="shared" ref="HC5:HC27" si="85">ROUND(HB5,10)*HA5/100</f>
        <v>415936.93539459934</v>
      </c>
      <c r="HD5" s="858">
        <v>-2.1704175742343068E-3</v>
      </c>
      <c r="HE5" s="54"/>
      <c r="HF5" s="225"/>
      <c r="HH5" s="456">
        <v>2</v>
      </c>
      <c r="HI5" s="565" t="s">
        <v>402</v>
      </c>
      <c r="HJ5" s="862">
        <v>2070180.8900786787</v>
      </c>
      <c r="HK5" s="926">
        <f>HJ5/$HJ$6</f>
        <v>1.8417568795969938E-2</v>
      </c>
      <c r="HL5" s="927">
        <f>SUMIF($GY$4:$GY$27,$HI5,HC$4:HC$27)</f>
        <v>2177591.0504414844</v>
      </c>
      <c r="HM5" s="859">
        <v>0.13414628756436286</v>
      </c>
      <c r="HN5" s="54"/>
      <c r="HO5" s="225"/>
      <c r="HQ5" s="734">
        <v>2</v>
      </c>
      <c r="HR5" s="869">
        <v>2</v>
      </c>
      <c r="HS5" s="518" t="s">
        <v>403</v>
      </c>
      <c r="HT5" s="788">
        <f t="shared" ref="HT5:HT27" si="86">$M5</f>
        <v>1014226.1799923583</v>
      </c>
      <c r="HU5" s="917">
        <f t="shared" ref="HU5:HU27" si="87">HB5</f>
        <v>41.010274000000003</v>
      </c>
      <c r="HV5" s="870"/>
      <c r="HW5" s="768"/>
      <c r="HX5" s="870">
        <v>-8.3115710000000007</v>
      </c>
      <c r="HY5" s="769">
        <v>25</v>
      </c>
      <c r="IA5" s="225"/>
      <c r="IN5" s="225"/>
      <c r="IP5" s="734">
        <v>2</v>
      </c>
      <c r="IQ5" s="869">
        <v>2</v>
      </c>
      <c r="IR5" s="518" t="s">
        <v>403</v>
      </c>
      <c r="IS5" s="913">
        <f>HC5</f>
        <v>415936.93539459934</v>
      </c>
      <c r="IT5" s="915">
        <f t="shared" ref="IT5:IT27" si="88">$M5</f>
        <v>1014226.1799923583</v>
      </c>
      <c r="IU5" s="919">
        <f t="shared" ref="IU5:IU28" si="89">HB5</f>
        <v>41.010274000000003</v>
      </c>
      <c r="IV5" s="904">
        <f t="shared" ref="IV5:IV7" si="90">IT5*$IK$4/(1-$IL$4)</f>
        <v>148277.19539838639</v>
      </c>
      <c r="IW5" s="904">
        <f t="shared" ref="IW5:IW27" si="91">IT5-IV5</f>
        <v>865948.98459397187</v>
      </c>
      <c r="IX5" s="913">
        <f t="shared" ref="IX5:IX7" si="92">IV5*$II$4</f>
        <v>2224.1579309757958</v>
      </c>
      <c r="IY5" s="882">
        <f t="shared" ref="IY5:IY27" si="93">IS5-IX5</f>
        <v>413712.77746362356</v>
      </c>
      <c r="IZ5" s="928">
        <f t="shared" ref="IZ5:IZ7" si="94">100*IY5/IT5</f>
        <v>40.79097795195355</v>
      </c>
      <c r="JA5" s="928">
        <f t="shared" ref="JA5:JA7" si="95">IZ5+1.5</f>
        <v>42.29097795195355</v>
      </c>
      <c r="JB5" s="913">
        <f>(IV5*JA5+IW5*IZ5)/100</f>
        <v>415936.93539459945</v>
      </c>
      <c r="JC5" s="883">
        <v>0.22223287213186182</v>
      </c>
      <c r="JE5" s="225"/>
      <c r="JG5" s="734">
        <v>2</v>
      </c>
      <c r="JH5" s="869">
        <v>2</v>
      </c>
      <c r="JI5" s="518" t="s">
        <v>403</v>
      </c>
      <c r="JJ5" s="788">
        <f t="shared" ref="JJ5:JJ27" si="96">$M5</f>
        <v>1014226.1799923583</v>
      </c>
      <c r="JK5" s="917">
        <f t="shared" ref="JK5:JK28" si="97">IZ5</f>
        <v>40.79097795195355</v>
      </c>
      <c r="JL5" s="870">
        <v>49.463999999999999</v>
      </c>
      <c r="JM5" s="768"/>
      <c r="JN5" s="870"/>
      <c r="JO5" s="769">
        <v>25</v>
      </c>
      <c r="JR5" s="225"/>
      <c r="JT5" s="936">
        <v>8.3490219265402583</v>
      </c>
      <c r="JU5" s="936">
        <f t="shared" si="64"/>
        <v>1.0280254132819522E-3</v>
      </c>
      <c r="JV5" s="13">
        <v>2563713</v>
      </c>
      <c r="JW5" s="13">
        <f t="shared" si="65"/>
        <v>-457321.30558367819</v>
      </c>
      <c r="JX5" s="935" t="s">
        <v>461</v>
      </c>
      <c r="JY5" s="912">
        <f>SUM(JY3:JY4)</f>
        <v>-31497.135217723429</v>
      </c>
    </row>
    <row r="6" spans="1:294" ht="17.25" thickBot="1" x14ac:dyDescent="0.35">
      <c r="B6" s="756">
        <v>3</v>
      </c>
      <c r="C6" s="764" t="s">
        <v>49</v>
      </c>
      <c r="D6" s="906">
        <f>'DCA 8 month Phase I'!LN27</f>
        <v>15711197.861928774</v>
      </c>
      <c r="E6" s="765">
        <v>0.13977622384398092</v>
      </c>
      <c r="F6" s="766">
        <v>0.72307985975183253</v>
      </c>
      <c r="J6" s="756">
        <v>3</v>
      </c>
      <c r="K6" s="757">
        <v>3</v>
      </c>
      <c r="L6" s="732" t="s">
        <v>407</v>
      </c>
      <c r="M6" s="904">
        <v>2106391.6944163218</v>
      </c>
      <c r="N6" s="944">
        <f t="shared" si="66"/>
        <v>9.5568992732213761E-4</v>
      </c>
      <c r="O6" s="753">
        <v>812.53603294440632</v>
      </c>
      <c r="P6" s="948">
        <f t="shared" si="67"/>
        <v>2592.367118518227</v>
      </c>
      <c r="Q6" s="733">
        <f t="shared" si="68"/>
        <v>1.4681897935526404E-3</v>
      </c>
      <c r="R6" s="758" t="s">
        <v>397</v>
      </c>
      <c r="V6" s="730">
        <f t="shared" ref="V6:V27" si="98">+V5+1</f>
        <v>3</v>
      </c>
      <c r="W6" s="731">
        <f t="shared" si="0"/>
        <v>3</v>
      </c>
      <c r="X6" s="732" t="s">
        <v>407</v>
      </c>
      <c r="Y6" s="924">
        <f t="shared" si="69"/>
        <v>134902.57826614165</v>
      </c>
      <c r="Z6" s="944">
        <f t="shared" si="70"/>
        <v>1.6118661061762288E-3</v>
      </c>
      <c r="AD6" s="730">
        <v>3</v>
      </c>
      <c r="AE6" s="746">
        <v>3</v>
      </c>
      <c r="AF6" s="747" t="s">
        <v>407</v>
      </c>
      <c r="AG6" s="748">
        <v>6.29</v>
      </c>
      <c r="AK6" s="730">
        <v>3</v>
      </c>
      <c r="AL6" s="779" t="s">
        <v>404</v>
      </c>
      <c r="AM6" s="780">
        <f>AM4/AM5</f>
        <v>18.336776074005567</v>
      </c>
      <c r="AN6" s="57"/>
      <c r="AP6" s="57"/>
      <c r="AQ6" s="730">
        <f t="shared" si="71"/>
        <v>3</v>
      </c>
      <c r="AR6" s="783">
        <f t="shared" si="1"/>
        <v>3</v>
      </c>
      <c r="AS6" s="732" t="s">
        <v>407</v>
      </c>
      <c r="AT6" s="732">
        <f t="shared" si="2"/>
        <v>6.29</v>
      </c>
      <c r="AU6" s="784">
        <f t="shared" si="72"/>
        <v>2106391.6944163218</v>
      </c>
      <c r="AV6" s="784">
        <f t="shared" ref="AV6:AV27" si="99">AU6*AT6/3600</f>
        <v>3680.3343771885179</v>
      </c>
      <c r="AW6" s="785">
        <f t="shared" si="3"/>
        <v>3809.0035075060105</v>
      </c>
      <c r="AX6" s="786">
        <f t="shared" si="4"/>
        <v>18.336776074005567</v>
      </c>
      <c r="AY6" s="379">
        <f>AW6*AX6</f>
        <v>69844.844382239491</v>
      </c>
      <c r="AZ6" s="51">
        <f t="shared" si="73"/>
        <v>1.9345579119853381E-3</v>
      </c>
      <c r="BA6" s="53">
        <f t="shared" si="5"/>
        <v>3.3158530000000002</v>
      </c>
      <c r="BE6" s="805">
        <v>3</v>
      </c>
      <c r="BF6" s="806" t="s">
        <v>72</v>
      </c>
      <c r="BG6" s="742">
        <f>SUM(BG4:BG5)</f>
        <v>1</v>
      </c>
      <c r="BH6" s="741">
        <f>D6</f>
        <v>15711197.861928774</v>
      </c>
      <c r="BL6" s="756">
        <f t="shared" ref="BL6:BL27" si="100">+BL5+1</f>
        <v>3</v>
      </c>
      <c r="BM6" s="758">
        <f t="shared" si="6"/>
        <v>3</v>
      </c>
      <c r="BN6" s="732" t="s">
        <v>407</v>
      </c>
      <c r="BO6" s="733">
        <f t="shared" si="7"/>
        <v>1.9345579119853381E-3</v>
      </c>
      <c r="BP6" s="379">
        <f t="shared" si="74"/>
        <v>15197.111065280718</v>
      </c>
      <c r="BQ6" s="733">
        <f t="shared" si="8"/>
        <v>9.5568992732213761E-4</v>
      </c>
      <c r="BR6" s="379">
        <f t="shared" si="75"/>
        <v>7507.5167714052168</v>
      </c>
      <c r="BS6" s="807">
        <f t="shared" si="9"/>
        <v>22704.627836685933</v>
      </c>
      <c r="BT6" s="808">
        <f t="shared" si="10"/>
        <v>1.0778920000000001</v>
      </c>
      <c r="BX6" s="756">
        <f>+BX5+1</f>
        <v>3</v>
      </c>
      <c r="BY6" s="732" t="s">
        <v>405</v>
      </c>
      <c r="BZ6" s="765">
        <v>0.11835749256056489</v>
      </c>
      <c r="CA6" s="821">
        <f>BZ6*$CA$9</f>
        <v>2693268.3058364303</v>
      </c>
      <c r="CB6" s="766"/>
      <c r="CC6" s="766">
        <v>1</v>
      </c>
      <c r="CD6" s="821">
        <f t="shared" si="11"/>
        <v>0</v>
      </c>
      <c r="CE6" s="821">
        <f t="shared" si="11"/>
        <v>2693268.3058364303</v>
      </c>
      <c r="CI6" s="730">
        <f t="shared" ref="CI6:CI27" si="101">+CI5+1</f>
        <v>3</v>
      </c>
      <c r="CJ6" s="746">
        <f t="shared" si="12"/>
        <v>3</v>
      </c>
      <c r="CK6" s="732" t="s">
        <v>407</v>
      </c>
      <c r="CL6" s="733">
        <f t="shared" si="13"/>
        <v>9.5568992732213761E-4</v>
      </c>
      <c r="CM6" s="379">
        <f t="shared" si="14"/>
        <v>5116.9933555866191</v>
      </c>
      <c r="CN6" s="733">
        <f t="shared" si="15"/>
        <v>1.4681897935526404E-3</v>
      </c>
      <c r="CO6" s="379">
        <f t="shared" si="16"/>
        <v>25548.158430522337</v>
      </c>
      <c r="CP6" s="379">
        <f t="shared" si="17"/>
        <v>30665.151786108956</v>
      </c>
      <c r="CQ6" s="733">
        <f t="shared" si="18"/>
        <v>1.3476007817445465E-3</v>
      </c>
      <c r="CR6" s="808">
        <f t="shared" si="19"/>
        <v>1.4558139999999999</v>
      </c>
      <c r="CV6" s="842">
        <v>3</v>
      </c>
      <c r="CW6" s="834" t="s">
        <v>395</v>
      </c>
      <c r="CX6" s="835">
        <v>0</v>
      </c>
      <c r="CY6" s="835">
        <v>0</v>
      </c>
      <c r="CZ6" s="836">
        <v>1</v>
      </c>
      <c r="DA6" s="910">
        <v>0</v>
      </c>
      <c r="DB6" s="910">
        <v>0</v>
      </c>
      <c r="DC6" s="910">
        <f>DD6</f>
        <v>1300116.9374547023</v>
      </c>
      <c r="DD6" s="910">
        <f t="shared" si="76"/>
        <v>1300116.9374547023</v>
      </c>
      <c r="DH6" s="730">
        <v>3</v>
      </c>
      <c r="DI6" s="840">
        <f t="shared" si="20"/>
        <v>3</v>
      </c>
      <c r="DJ6" s="732" t="s">
        <v>407</v>
      </c>
      <c r="DK6" s="733">
        <f t="shared" si="21"/>
        <v>1.3476007817445465E-3</v>
      </c>
      <c r="DL6" s="379">
        <f t="shared" si="77"/>
        <v>425.74489282264813</v>
      </c>
      <c r="DM6" s="733">
        <f t="shared" si="22"/>
        <v>1.4681897935526404E-3</v>
      </c>
      <c r="DN6" s="379">
        <f t="shared" si="23"/>
        <v>2870.6098648292991</v>
      </c>
      <c r="DO6" s="733">
        <f t="shared" si="24"/>
        <v>9.5568992732213761E-4</v>
      </c>
      <c r="DP6" s="379">
        <f t="shared" si="25"/>
        <v>3111.0769794973548</v>
      </c>
      <c r="DQ6" s="379">
        <f t="shared" si="78"/>
        <v>6407.4317371493016</v>
      </c>
      <c r="DR6" s="733">
        <f t="shared" si="26"/>
        <v>1.1594114416959035E-3</v>
      </c>
      <c r="DS6" s="808">
        <f t="shared" si="27"/>
        <v>0.30419000000000002</v>
      </c>
      <c r="DW6" s="730">
        <f t="shared" ref="DW6:DW27" si="102">+DW5+1</f>
        <v>3</v>
      </c>
      <c r="DX6" s="840">
        <f t="shared" si="28"/>
        <v>3</v>
      </c>
      <c r="DY6" s="732" t="s">
        <v>407</v>
      </c>
      <c r="DZ6" s="733">
        <f t="shared" si="29"/>
        <v>1.4681897935526404E-3</v>
      </c>
      <c r="EA6" s="379">
        <f t="shared" si="30"/>
        <v>5280.5225239579795</v>
      </c>
      <c r="EB6" s="808">
        <f t="shared" si="31"/>
        <v>0.25069000000000002</v>
      </c>
      <c r="EF6" s="842">
        <v>3</v>
      </c>
      <c r="EG6" s="825" t="s">
        <v>173</v>
      </c>
      <c r="EH6" s="837">
        <v>2334663.450411818</v>
      </c>
      <c r="EI6" s="826">
        <f>EH6/$EH$7</f>
        <v>0.24145211925746848</v>
      </c>
      <c r="EJ6" s="837">
        <f>EI6*$EJ$7</f>
        <v>2585518.8451076136</v>
      </c>
      <c r="EN6" s="730">
        <f t="shared" ref="EN6:EN27" si="103">+EN5+1</f>
        <v>3</v>
      </c>
      <c r="EO6" s="840">
        <f t="shared" si="32"/>
        <v>3</v>
      </c>
      <c r="EP6" s="732" t="s">
        <v>407</v>
      </c>
      <c r="EQ6" s="733">
        <f t="shared" si="33"/>
        <v>1.6118661061762288E-3</v>
      </c>
      <c r="ER6" s="379">
        <f t="shared" si="34"/>
        <v>11537.155795237144</v>
      </c>
      <c r="ES6" s="733">
        <f t="shared" si="35"/>
        <v>1.3476007817445465E-3</v>
      </c>
      <c r="ET6" s="379">
        <f t="shared" si="36"/>
        <v>1300.4985280613905</v>
      </c>
      <c r="EU6" s="733">
        <f t="shared" si="37"/>
        <v>9.5568992732213761E-4</v>
      </c>
      <c r="EV6" s="379">
        <f t="shared" si="38"/>
        <v>2470.9543171709124</v>
      </c>
      <c r="EW6" s="379">
        <f t="shared" si="39"/>
        <v>15308.608640469447</v>
      </c>
      <c r="EX6" s="733">
        <f t="shared" si="40"/>
        <v>1.4296147970914112E-3</v>
      </c>
      <c r="EY6" s="808">
        <f t="shared" si="41"/>
        <v>0.726769</v>
      </c>
      <c r="FC6" s="813">
        <v>3</v>
      </c>
      <c r="FD6" s="59" t="s">
        <v>406</v>
      </c>
      <c r="FE6" s="60">
        <f>SUM(FE4:FE5)</f>
        <v>18793628.556230251</v>
      </c>
      <c r="FI6" s="730">
        <f t="shared" ref="FI6:FI27" si="104">+FI5+1</f>
        <v>3</v>
      </c>
      <c r="FJ6" s="731">
        <f t="shared" si="42"/>
        <v>3</v>
      </c>
      <c r="FK6" s="732" t="s">
        <v>407</v>
      </c>
      <c r="FL6" s="733">
        <f t="shared" si="43"/>
        <v>1.6118661061762288E-3</v>
      </c>
      <c r="FM6" s="379">
        <f t="shared" si="44"/>
        <v>30292.812881853235</v>
      </c>
      <c r="FN6" s="808">
        <f t="shared" si="45"/>
        <v>1.4381379999999999</v>
      </c>
      <c r="FR6" s="730">
        <f t="shared" ref="FR6:FR27" si="105">+FR5+1</f>
        <v>3</v>
      </c>
      <c r="FS6" s="731">
        <v>3</v>
      </c>
      <c r="FT6" s="732" t="s">
        <v>407</v>
      </c>
      <c r="FU6" s="379">
        <f t="shared" si="46"/>
        <v>69844.844382239491</v>
      </c>
      <c r="FV6" s="379">
        <f t="shared" si="47"/>
        <v>22704.627836685933</v>
      </c>
      <c r="FW6" s="379">
        <f t="shared" si="48"/>
        <v>30665.151786108956</v>
      </c>
      <c r="FX6" s="379">
        <f t="shared" si="49"/>
        <v>6407.4317371493016</v>
      </c>
      <c r="FY6" s="379">
        <f t="shared" si="50"/>
        <v>5280.5225239579795</v>
      </c>
      <c r="FZ6" s="379">
        <f t="shared" si="51"/>
        <v>15308.608640469447</v>
      </c>
      <c r="GA6" s="379">
        <f t="shared" si="52"/>
        <v>30292.812881853235</v>
      </c>
      <c r="GB6" s="379">
        <f t="shared" si="53"/>
        <v>180503.99978846431</v>
      </c>
      <c r="GC6" s="852">
        <f t="shared" si="54"/>
        <v>8.5693459999999995</v>
      </c>
      <c r="GG6" s="730">
        <f t="shared" si="79"/>
        <v>3</v>
      </c>
      <c r="GH6" s="731">
        <f t="shared" si="55"/>
        <v>3</v>
      </c>
      <c r="GI6" s="732" t="s">
        <v>407</v>
      </c>
      <c r="GJ6" s="808">
        <f t="shared" si="56"/>
        <v>3.3158530000000002</v>
      </c>
      <c r="GK6" s="808">
        <f t="shared" si="57"/>
        <v>1.0778920000000001</v>
      </c>
      <c r="GL6" s="808">
        <f t="shared" si="58"/>
        <v>1.4558139999999999</v>
      </c>
      <c r="GM6" s="808">
        <f t="shared" si="59"/>
        <v>0.30419000000000002</v>
      </c>
      <c r="GN6" s="808">
        <f t="shared" si="60"/>
        <v>0.25069000000000002</v>
      </c>
      <c r="GO6" s="808">
        <f t="shared" si="61"/>
        <v>0.726769</v>
      </c>
      <c r="GP6" s="808">
        <f t="shared" si="62"/>
        <v>1.4381379999999999</v>
      </c>
      <c r="GQ6" s="808">
        <f t="shared" si="63"/>
        <v>8.5693459999999995</v>
      </c>
      <c r="GR6" s="784">
        <f t="shared" si="80"/>
        <v>2106391.6944163218</v>
      </c>
      <c r="GS6" s="716"/>
      <c r="GV6" s="717">
        <f t="shared" si="81"/>
        <v>3</v>
      </c>
      <c r="GW6" s="731">
        <v>3</v>
      </c>
      <c r="GX6" s="732" t="s">
        <v>407</v>
      </c>
      <c r="GY6" s="758" t="s">
        <v>397</v>
      </c>
      <c r="GZ6" s="906">
        <f t="shared" si="82"/>
        <v>180503.99978846431</v>
      </c>
      <c r="HA6" s="784">
        <f t="shared" si="83"/>
        <v>2106391.6944163218</v>
      </c>
      <c r="HB6" s="922">
        <f t="shared" si="84"/>
        <v>8.5693459999999995</v>
      </c>
      <c r="HC6" s="942">
        <f t="shared" si="85"/>
        <v>180503.99240979727</v>
      </c>
      <c r="HD6" s="857">
        <v>5.2642390364781022E-3</v>
      </c>
      <c r="HE6" s="61"/>
      <c r="HH6" s="813">
        <v>3</v>
      </c>
      <c r="HI6" s="762" t="s">
        <v>89</v>
      </c>
      <c r="HJ6" s="863">
        <v>112402506.16203305</v>
      </c>
      <c r="HK6" s="864">
        <v>1</v>
      </c>
      <c r="HL6" s="863">
        <f>HL5+HL4</f>
        <v>113195249.75969516</v>
      </c>
      <c r="HM6" s="865">
        <v>-2.9150733718854553</v>
      </c>
      <c r="HN6" s="61"/>
      <c r="HQ6" s="730">
        <v>3</v>
      </c>
      <c r="HR6" s="867">
        <v>3</v>
      </c>
      <c r="HS6" s="732" t="s">
        <v>407</v>
      </c>
      <c r="HT6" s="784">
        <f t="shared" si="86"/>
        <v>2106391.6944163218</v>
      </c>
      <c r="HU6" s="917">
        <f t="shared" si="87"/>
        <v>8.5693459999999995</v>
      </c>
      <c r="HV6" s="868"/>
      <c r="HW6" s="765"/>
      <c r="HX6" s="868">
        <v>-2.0161709999999999</v>
      </c>
      <c r="HY6" s="766">
        <v>10</v>
      </c>
      <c r="IP6" s="730">
        <v>3</v>
      </c>
      <c r="IQ6" s="867">
        <v>3</v>
      </c>
      <c r="IR6" s="732" t="s">
        <v>407</v>
      </c>
      <c r="IS6" s="913">
        <f t="shared" ref="IS6:IS27" si="106">HC6</f>
        <v>180503.99240979727</v>
      </c>
      <c r="IT6" s="915">
        <f t="shared" si="88"/>
        <v>2106391.6944163218</v>
      </c>
      <c r="IU6" s="918">
        <f t="shared" si="89"/>
        <v>8.5693459999999995</v>
      </c>
      <c r="IV6" s="904">
        <f>IT6*$IK$4/(1-$IL$4)</f>
        <v>307948.91614892095</v>
      </c>
      <c r="IW6" s="904">
        <f>IT6-IV6</f>
        <v>1798442.7782674008</v>
      </c>
      <c r="IX6" s="913">
        <f t="shared" si="92"/>
        <v>4619.2337422338142</v>
      </c>
      <c r="IY6" s="881">
        <f t="shared" si="93"/>
        <v>175884.75866756347</v>
      </c>
      <c r="IZ6" s="928">
        <f t="shared" si="94"/>
        <v>8.3500499519535403</v>
      </c>
      <c r="JA6" s="928">
        <f t="shared" si="95"/>
        <v>9.8500499519535403</v>
      </c>
      <c r="JB6" s="913">
        <f t="shared" ref="JB6:JB27" si="107">(IV6*JA6+IW6*IZ6)/100</f>
        <v>180503.99240979724</v>
      </c>
      <c r="JC6" s="852">
        <v>0.22223334610416501</v>
      </c>
      <c r="JG6" s="730">
        <v>3</v>
      </c>
      <c r="JH6" s="867">
        <v>3</v>
      </c>
      <c r="JI6" s="732" t="s">
        <v>407</v>
      </c>
      <c r="JJ6" s="784">
        <f t="shared" si="96"/>
        <v>2106391.6944163218</v>
      </c>
      <c r="JK6" s="917">
        <f t="shared" si="97"/>
        <v>8.3500499519535403</v>
      </c>
      <c r="JL6" s="868">
        <v>10.432</v>
      </c>
      <c r="JM6" s="765"/>
      <c r="JN6" s="868"/>
      <c r="JO6" s="766">
        <v>10</v>
      </c>
      <c r="JT6" s="936">
        <v>18.573936926540256</v>
      </c>
      <c r="JU6" s="936">
        <f t="shared" si="64"/>
        <v>-3.1709745867125605E-3</v>
      </c>
      <c r="JV6" s="13">
        <v>369439</v>
      </c>
      <c r="JW6" s="13">
        <f t="shared" si="65"/>
        <v>-22348.812752620317</v>
      </c>
    </row>
    <row r="7" spans="1:294" ht="17.25" thickBot="1" x14ac:dyDescent="0.35">
      <c r="B7" s="338">
        <v>4</v>
      </c>
      <c r="C7" s="770" t="s">
        <v>50</v>
      </c>
      <c r="D7" s="906">
        <f>'DCA 8 month Phase I'!LP27</f>
        <v>22755368.059679482</v>
      </c>
      <c r="E7" s="768">
        <v>0.20244537988215888</v>
      </c>
      <c r="F7" s="769">
        <v>1.047275229412356</v>
      </c>
      <c r="J7" s="338">
        <v>4</v>
      </c>
      <c r="K7" s="759">
        <v>4</v>
      </c>
      <c r="L7" s="518" t="s">
        <v>410</v>
      </c>
      <c r="M7" s="904">
        <v>347090.18724737968</v>
      </c>
      <c r="N7" s="943">
        <f t="shared" si="66"/>
        <v>1.5747811610916551E-4</v>
      </c>
      <c r="O7" s="455">
        <v>176.53560975609756</v>
      </c>
      <c r="P7" s="948">
        <f t="shared" si="67"/>
        <v>1966.1199671098718</v>
      </c>
      <c r="Q7" s="659">
        <f t="shared" si="68"/>
        <v>1.1135140729067502E-3</v>
      </c>
      <c r="R7" s="322" t="s">
        <v>397</v>
      </c>
      <c r="V7" s="734">
        <f t="shared" si="98"/>
        <v>4</v>
      </c>
      <c r="W7" s="735">
        <f t="shared" si="0"/>
        <v>4</v>
      </c>
      <c r="X7" s="518" t="s">
        <v>410</v>
      </c>
      <c r="Y7" s="924">
        <f t="shared" si="69"/>
        <v>48816.880406567776</v>
      </c>
      <c r="Z7" s="943">
        <f t="shared" si="70"/>
        <v>5.832822170482861E-4</v>
      </c>
      <c r="AD7" s="734">
        <v>4</v>
      </c>
      <c r="AE7" s="146">
        <v>4</v>
      </c>
      <c r="AF7" s="347" t="s">
        <v>410</v>
      </c>
      <c r="AG7" s="369">
        <v>9.15</v>
      </c>
      <c r="AK7" s="749">
        <v>4</v>
      </c>
      <c r="AL7" s="781" t="s">
        <v>408</v>
      </c>
      <c r="AM7" s="909">
        <v>3.1019864894695965</v>
      </c>
      <c r="AQ7" s="734">
        <f t="shared" si="71"/>
        <v>4</v>
      </c>
      <c r="AR7" s="787">
        <f t="shared" si="1"/>
        <v>4</v>
      </c>
      <c r="AS7" s="518" t="s">
        <v>410</v>
      </c>
      <c r="AT7" s="518">
        <f t="shared" si="2"/>
        <v>9.15</v>
      </c>
      <c r="AU7" s="788">
        <f t="shared" si="72"/>
        <v>347090.18724737968</v>
      </c>
      <c r="AV7" s="788">
        <f t="shared" si="99"/>
        <v>882.18755925375672</v>
      </c>
      <c r="AW7" s="789">
        <f t="shared" si="3"/>
        <v>913.02994866534186</v>
      </c>
      <c r="AX7" s="790">
        <f t="shared" si="4"/>
        <v>18.336776074005567</v>
      </c>
      <c r="AY7" s="358">
        <f t="shared" ref="AY7:AY27" si="108">AW7*AX7</f>
        <v>16742.02571753717</v>
      </c>
      <c r="AZ7" s="35">
        <f t="shared" si="73"/>
        <v>4.637195286350933E-4</v>
      </c>
      <c r="BA7" s="55">
        <f t="shared" si="5"/>
        <v>4.8235380000000001</v>
      </c>
      <c r="BL7" s="338">
        <f t="shared" si="100"/>
        <v>4</v>
      </c>
      <c r="BM7" s="322">
        <f t="shared" si="6"/>
        <v>4</v>
      </c>
      <c r="BN7" s="518" t="s">
        <v>410</v>
      </c>
      <c r="BO7" s="659">
        <f t="shared" si="7"/>
        <v>4.637195286350933E-4</v>
      </c>
      <c r="BP7" s="358">
        <f t="shared" si="74"/>
        <v>3642.7946334131484</v>
      </c>
      <c r="BQ7" s="659">
        <f t="shared" si="8"/>
        <v>1.5747811610916551E-4</v>
      </c>
      <c r="BR7" s="358">
        <f t="shared" si="75"/>
        <v>1237.0849205574461</v>
      </c>
      <c r="BS7" s="809">
        <f t="shared" si="9"/>
        <v>4879.8795539705943</v>
      </c>
      <c r="BT7" s="810">
        <f t="shared" si="10"/>
        <v>1.40594</v>
      </c>
      <c r="BX7" s="338">
        <f>+BX6+1</f>
        <v>4</v>
      </c>
      <c r="BY7" s="518" t="s">
        <v>409</v>
      </c>
      <c r="BZ7" s="822">
        <v>0.27072634510422583</v>
      </c>
      <c r="CA7" s="823">
        <f>BZ7*$CA$9</f>
        <v>6160477.6262984648</v>
      </c>
      <c r="CB7" s="824"/>
      <c r="CC7" s="824">
        <v>1</v>
      </c>
      <c r="CD7" s="823">
        <f t="shared" si="11"/>
        <v>0</v>
      </c>
      <c r="CE7" s="823">
        <f t="shared" si="11"/>
        <v>6160477.6262984648</v>
      </c>
      <c r="CI7" s="734">
        <f t="shared" si="101"/>
        <v>4</v>
      </c>
      <c r="CJ7" s="146">
        <f t="shared" si="12"/>
        <v>4</v>
      </c>
      <c r="CK7" s="518" t="s">
        <v>410</v>
      </c>
      <c r="CL7" s="344">
        <f t="shared" si="13"/>
        <v>1.5747811610916551E-4</v>
      </c>
      <c r="CM7" s="20">
        <f t="shared" si="14"/>
        <v>843.17564802509355</v>
      </c>
      <c r="CN7" s="344">
        <f t="shared" si="15"/>
        <v>1.1135140729067502E-3</v>
      </c>
      <c r="CO7" s="20">
        <f t="shared" si="16"/>
        <v>19376.400840112416</v>
      </c>
      <c r="CP7" s="20">
        <f t="shared" si="17"/>
        <v>20219.576488137511</v>
      </c>
      <c r="CQ7" s="344">
        <f t="shared" si="18"/>
        <v>8.8856292876074493E-4</v>
      </c>
      <c r="CR7" s="342">
        <f t="shared" si="19"/>
        <v>5.8254530000000004</v>
      </c>
      <c r="CV7" s="843">
        <v>4</v>
      </c>
      <c r="CW7" s="838" t="s">
        <v>72</v>
      </c>
      <c r="CX7" s="622"/>
      <c r="CY7" s="622"/>
      <c r="CZ7" s="839"/>
      <c r="DA7" s="424">
        <f>SUM(DA4:DA6)</f>
        <v>315928.05420570989</v>
      </c>
      <c r="DB7" s="424">
        <f>SUM(DB4:DB6)</f>
        <v>1955203.5284778571</v>
      </c>
      <c r="DC7" s="424">
        <f>SUM(DC4:DC6)</f>
        <v>3255320.4659325592</v>
      </c>
      <c r="DD7" s="911">
        <f>D8</f>
        <v>5526452.0486161262</v>
      </c>
      <c r="DH7" s="734">
        <v>4</v>
      </c>
      <c r="DI7" s="745">
        <f t="shared" si="20"/>
        <v>4</v>
      </c>
      <c r="DJ7" s="518" t="s">
        <v>410</v>
      </c>
      <c r="DK7" s="344">
        <f t="shared" si="21"/>
        <v>8.8856292876074493E-4</v>
      </c>
      <c r="DL7" s="20">
        <f t="shared" si="77"/>
        <v>280.72195712270894</v>
      </c>
      <c r="DM7" s="344">
        <f t="shared" si="22"/>
        <v>1.1135140729067502E-3</v>
      </c>
      <c r="DN7" s="20">
        <f t="shared" si="23"/>
        <v>2177.146644357028</v>
      </c>
      <c r="DO7" s="344">
        <f t="shared" si="24"/>
        <v>1.5747811610916551E-4</v>
      </c>
      <c r="DP7" s="20">
        <f t="shared" si="25"/>
        <v>512.64173430667029</v>
      </c>
      <c r="DQ7" s="20">
        <f t="shared" si="78"/>
        <v>2970.5103357864073</v>
      </c>
      <c r="DR7" s="344">
        <f t="shared" si="26"/>
        <v>5.3750766489148324E-4</v>
      </c>
      <c r="DS7" s="342">
        <f t="shared" si="27"/>
        <v>0.85583200000000004</v>
      </c>
      <c r="DW7" s="734">
        <f t="shared" si="102"/>
        <v>4</v>
      </c>
      <c r="DX7" s="745">
        <f t="shared" si="28"/>
        <v>4</v>
      </c>
      <c r="DY7" s="518" t="s">
        <v>410</v>
      </c>
      <c r="DZ7" s="344">
        <f t="shared" si="29"/>
        <v>1.1135140729067502E-3</v>
      </c>
      <c r="EA7" s="20">
        <f t="shared" si="30"/>
        <v>4004.8883111360929</v>
      </c>
      <c r="EB7" s="342">
        <f t="shared" si="31"/>
        <v>1.1538470000000001</v>
      </c>
      <c r="EF7" s="843">
        <v>4</v>
      </c>
      <c r="EG7" s="30" t="s">
        <v>72</v>
      </c>
      <c r="EH7" s="21">
        <f>SUM(EH4:EH6)</f>
        <v>9669260.545699697</v>
      </c>
      <c r="EI7" s="64">
        <f>EH7/$EH$7</f>
        <v>1</v>
      </c>
      <c r="EJ7" s="21">
        <f>D10</f>
        <v>10708205.225362252</v>
      </c>
      <c r="EN7" s="734">
        <f t="shared" si="103"/>
        <v>4</v>
      </c>
      <c r="EO7" s="745">
        <f t="shared" si="32"/>
        <v>4</v>
      </c>
      <c r="EP7" s="518" t="s">
        <v>410</v>
      </c>
      <c r="EQ7" s="344">
        <f t="shared" si="33"/>
        <v>5.832822170482861E-4</v>
      </c>
      <c r="ER7" s="20">
        <f t="shared" si="34"/>
        <v>4174.9235776421629</v>
      </c>
      <c r="ES7" s="344">
        <f t="shared" si="35"/>
        <v>8.8856292876074493E-4</v>
      </c>
      <c r="ET7" s="20">
        <f t="shared" si="36"/>
        <v>857.50527648648972</v>
      </c>
      <c r="EU7" s="344">
        <f t="shared" si="37"/>
        <v>1.5747811610916551E-4</v>
      </c>
      <c r="EV7" s="20">
        <f t="shared" si="38"/>
        <v>407.16263689229231</v>
      </c>
      <c r="EW7" s="20">
        <f t="shared" si="39"/>
        <v>5439.5914910209449</v>
      </c>
      <c r="EX7" s="344">
        <f t="shared" si="40"/>
        <v>5.0798349270868835E-4</v>
      </c>
      <c r="EY7" s="342">
        <f t="shared" si="41"/>
        <v>1.5671980000000001</v>
      </c>
      <c r="FE7" s="25"/>
      <c r="FI7" s="734">
        <f t="shared" si="104"/>
        <v>4</v>
      </c>
      <c r="FJ7" s="735">
        <f t="shared" si="42"/>
        <v>4</v>
      </c>
      <c r="FK7" s="518" t="s">
        <v>410</v>
      </c>
      <c r="FL7" s="344">
        <f t="shared" si="43"/>
        <v>5.832822170482861E-4</v>
      </c>
      <c r="FM7" s="20">
        <f t="shared" si="44"/>
        <v>10961.989330659961</v>
      </c>
      <c r="FN7" s="342">
        <f t="shared" si="45"/>
        <v>3.1582539999999999</v>
      </c>
      <c r="FR7" s="734">
        <f t="shared" si="105"/>
        <v>4</v>
      </c>
      <c r="FS7" s="735">
        <v>4</v>
      </c>
      <c r="FT7" s="518" t="s">
        <v>410</v>
      </c>
      <c r="FU7" s="20">
        <f t="shared" si="46"/>
        <v>16742.02571753717</v>
      </c>
      <c r="FV7" s="20">
        <f t="shared" si="47"/>
        <v>4879.8795539705943</v>
      </c>
      <c r="FW7" s="20">
        <f t="shared" si="48"/>
        <v>20219.576488137511</v>
      </c>
      <c r="FX7" s="20">
        <f t="shared" si="49"/>
        <v>2970.5103357864073</v>
      </c>
      <c r="FY7" s="20">
        <f t="shared" si="50"/>
        <v>4004.8883111360929</v>
      </c>
      <c r="FZ7" s="20">
        <f t="shared" si="51"/>
        <v>5439.5914910209449</v>
      </c>
      <c r="GA7" s="20">
        <f t="shared" si="52"/>
        <v>10961.989330659961</v>
      </c>
      <c r="GB7" s="20">
        <f t="shared" si="53"/>
        <v>65218.461228248685</v>
      </c>
      <c r="GC7" s="414">
        <f t="shared" si="54"/>
        <v>18.790061999999999</v>
      </c>
      <c r="GG7" s="734">
        <f t="shared" si="79"/>
        <v>4</v>
      </c>
      <c r="GH7" s="735">
        <f t="shared" si="55"/>
        <v>4</v>
      </c>
      <c r="GI7" s="518" t="s">
        <v>410</v>
      </c>
      <c r="GJ7" s="342">
        <f t="shared" si="56"/>
        <v>4.8235380000000001</v>
      </c>
      <c r="GK7" s="342">
        <f t="shared" si="57"/>
        <v>1.40594</v>
      </c>
      <c r="GL7" s="342">
        <f t="shared" si="58"/>
        <v>5.8254530000000004</v>
      </c>
      <c r="GM7" s="342">
        <f t="shared" si="59"/>
        <v>0.85583200000000004</v>
      </c>
      <c r="GN7" s="342">
        <f t="shared" si="60"/>
        <v>1.1538470000000001</v>
      </c>
      <c r="GO7" s="342">
        <f t="shared" si="61"/>
        <v>1.5671980000000001</v>
      </c>
      <c r="GP7" s="342">
        <f t="shared" si="62"/>
        <v>3.1582539999999999</v>
      </c>
      <c r="GQ7" s="342">
        <f t="shared" si="63"/>
        <v>18.790061999999999</v>
      </c>
      <c r="GR7" s="788">
        <f t="shared" si="80"/>
        <v>347090.18724737968</v>
      </c>
      <c r="GS7" s="716"/>
      <c r="GV7" s="718">
        <f t="shared" si="81"/>
        <v>4</v>
      </c>
      <c r="GW7" s="735">
        <v>4</v>
      </c>
      <c r="GX7" s="518" t="s">
        <v>410</v>
      </c>
      <c r="GY7" s="322" t="s">
        <v>397</v>
      </c>
      <c r="GZ7" s="924">
        <f t="shared" si="82"/>
        <v>65218.461228248685</v>
      </c>
      <c r="HA7" s="788">
        <f t="shared" si="83"/>
        <v>347090.18724737968</v>
      </c>
      <c r="HB7" s="922">
        <f t="shared" si="84"/>
        <v>18.790061999999999</v>
      </c>
      <c r="HC7" s="942">
        <f t="shared" si="85"/>
        <v>65218.461379698732</v>
      </c>
      <c r="HD7" s="858">
        <v>1.2685816618613899E-3</v>
      </c>
      <c r="HE7" s="54"/>
      <c r="HH7" s="54"/>
      <c r="HI7" s="54"/>
      <c r="HJ7" s="54"/>
      <c r="HK7" s="54"/>
      <c r="HL7" s="54"/>
      <c r="HM7" s="54"/>
      <c r="HN7" s="54"/>
      <c r="HQ7" s="734">
        <v>4</v>
      </c>
      <c r="HR7" s="869">
        <v>4</v>
      </c>
      <c r="HS7" s="518" t="s">
        <v>410</v>
      </c>
      <c r="HT7" s="788">
        <f t="shared" si="86"/>
        <v>347090.18724737968</v>
      </c>
      <c r="HU7" s="917">
        <f t="shared" si="87"/>
        <v>18.790061999999999</v>
      </c>
      <c r="HV7" s="870"/>
      <c r="HW7" s="768"/>
      <c r="HX7" s="870">
        <v>-2.307269999999999</v>
      </c>
      <c r="HY7" s="769">
        <v>25</v>
      </c>
      <c r="IP7" s="734">
        <v>4</v>
      </c>
      <c r="IQ7" s="869">
        <v>4</v>
      </c>
      <c r="IR7" s="518" t="s">
        <v>410</v>
      </c>
      <c r="IS7" s="913">
        <f t="shared" si="106"/>
        <v>65218.461379698732</v>
      </c>
      <c r="IT7" s="915">
        <f t="shared" si="88"/>
        <v>347090.18724737968</v>
      </c>
      <c r="IU7" s="919">
        <f t="shared" si="89"/>
        <v>18.790061999999999</v>
      </c>
      <c r="IV7" s="904">
        <f t="shared" si="90"/>
        <v>50743.670919370277</v>
      </c>
      <c r="IW7" s="904">
        <f t="shared" si="91"/>
        <v>296346.51632800943</v>
      </c>
      <c r="IX7" s="913">
        <f t="shared" si="92"/>
        <v>761.1550637905541</v>
      </c>
      <c r="IY7" s="882">
        <f t="shared" si="93"/>
        <v>64457.306315908179</v>
      </c>
      <c r="IZ7" s="928">
        <f t="shared" si="94"/>
        <v>18.570765951953543</v>
      </c>
      <c r="JA7" s="928">
        <f t="shared" si="95"/>
        <v>20.070765951953543</v>
      </c>
      <c r="JB7" s="913">
        <f t="shared" si="107"/>
        <v>65218.461379698747</v>
      </c>
      <c r="JC7" s="883">
        <v>0.22223345161998509</v>
      </c>
      <c r="JG7" s="734">
        <v>4</v>
      </c>
      <c r="JH7" s="869">
        <v>4</v>
      </c>
      <c r="JI7" s="518" t="s">
        <v>410</v>
      </c>
      <c r="JJ7" s="788">
        <f t="shared" si="96"/>
        <v>347090.18724737968</v>
      </c>
      <c r="JK7" s="917">
        <f t="shared" si="97"/>
        <v>18.570765951953543</v>
      </c>
      <c r="JL7" s="870">
        <v>21.068999999999999</v>
      </c>
      <c r="JM7" s="768"/>
      <c r="JN7" s="870"/>
      <c r="JO7" s="769">
        <v>25</v>
      </c>
      <c r="JT7" s="936">
        <v>3149</v>
      </c>
      <c r="JU7" s="936">
        <f t="shared" si="64"/>
        <v>0</v>
      </c>
      <c r="JV7" s="13">
        <v>0</v>
      </c>
      <c r="JW7" s="13">
        <f t="shared" si="65"/>
        <v>0</v>
      </c>
    </row>
    <row r="8" spans="1:294" x14ac:dyDescent="0.3">
      <c r="B8" s="756">
        <v>5</v>
      </c>
      <c r="C8" s="764" t="s">
        <v>53</v>
      </c>
      <c r="D8" s="906">
        <f>'DCA 8 month Phase I'!LV27</f>
        <v>5526452.0486161262</v>
      </c>
      <c r="E8" s="765">
        <v>4.8469810252916676E-2</v>
      </c>
      <c r="F8" s="766">
        <v>0.25074038084615313</v>
      </c>
      <c r="J8" s="756">
        <v>5</v>
      </c>
      <c r="K8" s="757">
        <v>5</v>
      </c>
      <c r="L8" s="732" t="s">
        <v>412</v>
      </c>
      <c r="M8" s="904">
        <v>0</v>
      </c>
      <c r="N8" s="944">
        <f t="shared" si="66"/>
        <v>0</v>
      </c>
      <c r="O8" s="753">
        <v>10</v>
      </c>
      <c r="P8" s="948">
        <f t="shared" si="67"/>
        <v>0</v>
      </c>
      <c r="Q8" s="733">
        <f t="shared" si="68"/>
        <v>0</v>
      </c>
      <c r="R8" s="758" t="s">
        <v>402</v>
      </c>
      <c r="V8" s="730">
        <f t="shared" si="98"/>
        <v>5</v>
      </c>
      <c r="W8" s="731">
        <f t="shared" si="0"/>
        <v>5</v>
      </c>
      <c r="X8" s="732" t="s">
        <v>412</v>
      </c>
      <c r="Y8" s="924">
        <f t="shared" si="69"/>
        <v>0</v>
      </c>
      <c r="Z8" s="944">
        <f t="shared" si="70"/>
        <v>0</v>
      </c>
      <c r="AD8" s="730">
        <v>5</v>
      </c>
      <c r="AE8" s="746">
        <v>5</v>
      </c>
      <c r="AF8" s="747" t="s">
        <v>412</v>
      </c>
      <c r="AG8" s="748">
        <v>73.19</v>
      </c>
      <c r="AK8" s="39"/>
      <c r="AQ8" s="730">
        <f t="shared" si="71"/>
        <v>5</v>
      </c>
      <c r="AR8" s="783">
        <f t="shared" si="1"/>
        <v>5</v>
      </c>
      <c r="AS8" s="732" t="s">
        <v>412</v>
      </c>
      <c r="AT8" s="732">
        <f t="shared" si="2"/>
        <v>73.19</v>
      </c>
      <c r="AU8" s="784">
        <f t="shared" si="72"/>
        <v>0</v>
      </c>
      <c r="AV8" s="784">
        <f t="shared" si="99"/>
        <v>0</v>
      </c>
      <c r="AW8" s="785">
        <f t="shared" si="3"/>
        <v>0</v>
      </c>
      <c r="AX8" s="786">
        <f t="shared" si="4"/>
        <v>18.336776074005567</v>
      </c>
      <c r="AY8" s="379">
        <f t="shared" si="108"/>
        <v>0</v>
      </c>
      <c r="AZ8" s="51">
        <f t="shared" si="73"/>
        <v>0</v>
      </c>
      <c r="BA8" s="53">
        <f t="shared" si="5"/>
        <v>0</v>
      </c>
      <c r="BL8" s="756">
        <f t="shared" si="100"/>
        <v>5</v>
      </c>
      <c r="BM8" s="758">
        <f t="shared" si="6"/>
        <v>5</v>
      </c>
      <c r="BN8" s="732" t="s">
        <v>412</v>
      </c>
      <c r="BO8" s="733">
        <f t="shared" si="7"/>
        <v>0</v>
      </c>
      <c r="BP8" s="379">
        <f t="shared" si="74"/>
        <v>0</v>
      </c>
      <c r="BQ8" s="733">
        <f t="shared" si="8"/>
        <v>0</v>
      </c>
      <c r="BR8" s="379">
        <f t="shared" si="75"/>
        <v>0</v>
      </c>
      <c r="BS8" s="807">
        <f t="shared" si="9"/>
        <v>0</v>
      </c>
      <c r="BT8" s="808">
        <f t="shared" si="10"/>
        <v>0</v>
      </c>
      <c r="BX8" s="842">
        <f>+BX7+1</f>
        <v>5</v>
      </c>
      <c r="BY8" s="825" t="s">
        <v>411</v>
      </c>
      <c r="BZ8" s="826">
        <v>0.37562046812353972</v>
      </c>
      <c r="CA8" s="827">
        <f>BZ8*$CA$9</f>
        <v>8547382.0029002503</v>
      </c>
      <c r="CB8" s="828"/>
      <c r="CC8" s="828">
        <v>1</v>
      </c>
      <c r="CD8" s="827">
        <f t="shared" si="11"/>
        <v>0</v>
      </c>
      <c r="CE8" s="827">
        <f t="shared" si="11"/>
        <v>8547382.0029002503</v>
      </c>
      <c r="CI8" s="730">
        <f t="shared" si="101"/>
        <v>5</v>
      </c>
      <c r="CJ8" s="746">
        <f t="shared" si="12"/>
        <v>5</v>
      </c>
      <c r="CK8" s="732" t="s">
        <v>412</v>
      </c>
      <c r="CL8" s="733">
        <f t="shared" si="13"/>
        <v>0</v>
      </c>
      <c r="CM8" s="379">
        <f t="shared" si="14"/>
        <v>0</v>
      </c>
      <c r="CN8" s="733">
        <f t="shared" si="15"/>
        <v>0</v>
      </c>
      <c r="CO8" s="379">
        <f t="shared" si="16"/>
        <v>0</v>
      </c>
      <c r="CP8" s="379">
        <f t="shared" si="17"/>
        <v>0</v>
      </c>
      <c r="CQ8" s="733">
        <f t="shared" si="18"/>
        <v>0</v>
      </c>
      <c r="CR8" s="808">
        <f t="shared" si="19"/>
        <v>0</v>
      </c>
      <c r="CX8" s="13"/>
      <c r="CY8" s="13"/>
      <c r="CZ8" s="13"/>
      <c r="DA8" s="13"/>
      <c r="DB8" s="13"/>
      <c r="DC8" s="13"/>
      <c r="DD8" s="13"/>
      <c r="DH8" s="730">
        <v>5</v>
      </c>
      <c r="DI8" s="840">
        <f t="shared" si="20"/>
        <v>5</v>
      </c>
      <c r="DJ8" s="732" t="s">
        <v>412</v>
      </c>
      <c r="DK8" s="733">
        <f t="shared" si="21"/>
        <v>0</v>
      </c>
      <c r="DL8" s="379">
        <f t="shared" si="77"/>
        <v>0</v>
      </c>
      <c r="DM8" s="733">
        <f t="shared" si="22"/>
        <v>0</v>
      </c>
      <c r="DN8" s="379">
        <f t="shared" si="23"/>
        <v>0</v>
      </c>
      <c r="DO8" s="733">
        <f t="shared" si="24"/>
        <v>0</v>
      </c>
      <c r="DP8" s="379">
        <f t="shared" si="25"/>
        <v>0</v>
      </c>
      <c r="DQ8" s="379">
        <f t="shared" si="78"/>
        <v>0</v>
      </c>
      <c r="DR8" s="733">
        <f t="shared" si="26"/>
        <v>0</v>
      </c>
      <c r="DS8" s="808">
        <f t="shared" si="27"/>
        <v>0</v>
      </c>
      <c r="DW8" s="730">
        <f t="shared" si="102"/>
        <v>5</v>
      </c>
      <c r="DX8" s="840">
        <f t="shared" si="28"/>
        <v>5</v>
      </c>
      <c r="DY8" s="732" t="s">
        <v>412</v>
      </c>
      <c r="DZ8" s="733">
        <f t="shared" si="29"/>
        <v>0</v>
      </c>
      <c r="EA8" s="379">
        <f t="shared" si="30"/>
        <v>0</v>
      </c>
      <c r="EB8" s="808">
        <f t="shared" si="31"/>
        <v>0</v>
      </c>
      <c r="EN8" s="730">
        <f t="shared" si="103"/>
        <v>5</v>
      </c>
      <c r="EO8" s="840">
        <f t="shared" si="32"/>
        <v>5</v>
      </c>
      <c r="EP8" s="732" t="s">
        <v>412</v>
      </c>
      <c r="EQ8" s="733">
        <f t="shared" si="33"/>
        <v>0</v>
      </c>
      <c r="ER8" s="379">
        <f t="shared" si="34"/>
        <v>0</v>
      </c>
      <c r="ES8" s="733">
        <f t="shared" si="35"/>
        <v>0</v>
      </c>
      <c r="ET8" s="379">
        <f t="shared" si="36"/>
        <v>0</v>
      </c>
      <c r="EU8" s="733">
        <f t="shared" si="37"/>
        <v>0</v>
      </c>
      <c r="EV8" s="379">
        <f t="shared" si="38"/>
        <v>0</v>
      </c>
      <c r="EW8" s="379">
        <f t="shared" si="39"/>
        <v>0</v>
      </c>
      <c r="EX8" s="733">
        <f t="shared" si="40"/>
        <v>0</v>
      </c>
      <c r="EY8" s="808">
        <f t="shared" si="41"/>
        <v>0</v>
      </c>
      <c r="FI8" s="730">
        <f t="shared" si="104"/>
        <v>5</v>
      </c>
      <c r="FJ8" s="731">
        <f t="shared" si="42"/>
        <v>5</v>
      </c>
      <c r="FK8" s="732" t="s">
        <v>412</v>
      </c>
      <c r="FL8" s="733">
        <f t="shared" si="43"/>
        <v>0</v>
      </c>
      <c r="FM8" s="379">
        <f t="shared" si="44"/>
        <v>0</v>
      </c>
      <c r="FN8" s="808">
        <f t="shared" si="45"/>
        <v>0</v>
      </c>
      <c r="FR8" s="730">
        <f t="shared" si="105"/>
        <v>5</v>
      </c>
      <c r="FS8" s="731">
        <v>5</v>
      </c>
      <c r="FT8" s="732" t="s">
        <v>412</v>
      </c>
      <c r="FU8" s="379">
        <f t="shared" si="46"/>
        <v>0</v>
      </c>
      <c r="FV8" s="379">
        <f t="shared" si="47"/>
        <v>0</v>
      </c>
      <c r="FW8" s="379">
        <f t="shared" si="48"/>
        <v>0</v>
      </c>
      <c r="FX8" s="379">
        <f t="shared" si="49"/>
        <v>0</v>
      </c>
      <c r="FY8" s="379">
        <f t="shared" si="50"/>
        <v>0</v>
      </c>
      <c r="FZ8" s="379">
        <f t="shared" si="51"/>
        <v>0</v>
      </c>
      <c r="GA8" s="379">
        <f t="shared" si="52"/>
        <v>0</v>
      </c>
      <c r="GB8" s="379">
        <f t="shared" si="53"/>
        <v>0</v>
      </c>
      <c r="GC8" s="852">
        <f t="shared" si="54"/>
        <v>0</v>
      </c>
      <c r="GG8" s="730">
        <f t="shared" si="79"/>
        <v>5</v>
      </c>
      <c r="GH8" s="731">
        <f t="shared" si="55"/>
        <v>5</v>
      </c>
      <c r="GI8" s="732" t="s">
        <v>412</v>
      </c>
      <c r="GJ8" s="808">
        <f t="shared" si="56"/>
        <v>0</v>
      </c>
      <c r="GK8" s="808">
        <f t="shared" si="57"/>
        <v>0</v>
      </c>
      <c r="GL8" s="808">
        <f t="shared" si="58"/>
        <v>0</v>
      </c>
      <c r="GM8" s="808">
        <f t="shared" si="59"/>
        <v>0</v>
      </c>
      <c r="GN8" s="808">
        <f t="shared" si="60"/>
        <v>0</v>
      </c>
      <c r="GO8" s="808">
        <f t="shared" si="61"/>
        <v>0</v>
      </c>
      <c r="GP8" s="808">
        <f t="shared" si="62"/>
        <v>0</v>
      </c>
      <c r="GQ8" s="808">
        <f t="shared" si="63"/>
        <v>0</v>
      </c>
      <c r="GR8" s="784">
        <f t="shared" si="80"/>
        <v>0</v>
      </c>
      <c r="GS8" s="716"/>
      <c r="GV8" s="717">
        <f t="shared" si="81"/>
        <v>5</v>
      </c>
      <c r="GW8" s="731">
        <v>5</v>
      </c>
      <c r="GX8" s="732" t="s">
        <v>412</v>
      </c>
      <c r="GY8" s="758" t="s">
        <v>402</v>
      </c>
      <c r="GZ8" s="906">
        <f t="shared" si="82"/>
        <v>0</v>
      </c>
      <c r="HA8" s="784">
        <f t="shared" si="83"/>
        <v>0</v>
      </c>
      <c r="HB8" s="922">
        <v>3149</v>
      </c>
      <c r="HC8" s="942">
        <f t="shared" si="85"/>
        <v>0</v>
      </c>
      <c r="HD8" s="857">
        <v>0</v>
      </c>
      <c r="HE8" s="54"/>
      <c r="HH8" s="54"/>
      <c r="HI8" s="54"/>
      <c r="HJ8" s="54"/>
      <c r="HK8" s="54"/>
      <c r="HL8" s="54"/>
      <c r="HM8" s="54"/>
      <c r="HN8" s="54"/>
      <c r="HQ8" s="730">
        <v>5</v>
      </c>
      <c r="HR8" s="867">
        <v>5</v>
      </c>
      <c r="HS8" s="732" t="s">
        <v>412</v>
      </c>
      <c r="HT8" s="784">
        <f t="shared" si="86"/>
        <v>0</v>
      </c>
      <c r="HU8" s="917">
        <f t="shared" si="87"/>
        <v>3149</v>
      </c>
      <c r="HV8" s="868"/>
      <c r="HW8" s="765"/>
      <c r="HX8" s="868">
        <v>0</v>
      </c>
      <c r="HY8" s="766">
        <v>10000</v>
      </c>
      <c r="IP8" s="730">
        <v>5</v>
      </c>
      <c r="IQ8" s="867">
        <v>5</v>
      </c>
      <c r="IR8" s="732" t="s">
        <v>412</v>
      </c>
      <c r="IS8" s="913">
        <f t="shared" si="106"/>
        <v>0</v>
      </c>
      <c r="IT8" s="915">
        <f t="shared" si="88"/>
        <v>0</v>
      </c>
      <c r="IU8" s="918">
        <f t="shared" si="89"/>
        <v>3149</v>
      </c>
      <c r="IV8" s="904">
        <v>0</v>
      </c>
      <c r="IW8" s="904">
        <f t="shared" si="91"/>
        <v>0</v>
      </c>
      <c r="IX8" s="913">
        <v>0</v>
      </c>
      <c r="IY8" s="881">
        <f t="shared" si="93"/>
        <v>0</v>
      </c>
      <c r="IZ8" s="928">
        <v>3149</v>
      </c>
      <c r="JA8" s="929">
        <f>IZ8</f>
        <v>3149</v>
      </c>
      <c r="JB8" s="913">
        <f t="shared" si="107"/>
        <v>0</v>
      </c>
      <c r="JC8" s="852">
        <v>0</v>
      </c>
      <c r="JG8" s="730">
        <v>5</v>
      </c>
      <c r="JH8" s="867">
        <v>5</v>
      </c>
      <c r="JI8" s="732" t="s">
        <v>412</v>
      </c>
      <c r="JJ8" s="784">
        <f t="shared" si="96"/>
        <v>0</v>
      </c>
      <c r="JK8" s="917">
        <f t="shared" si="97"/>
        <v>3149</v>
      </c>
      <c r="JL8" s="868">
        <v>3149</v>
      </c>
      <c r="JM8" s="765"/>
      <c r="JN8" s="868"/>
      <c r="JO8" s="766">
        <v>10000</v>
      </c>
      <c r="JT8" s="936">
        <v>7.0775299265402563</v>
      </c>
      <c r="JU8" s="936">
        <f t="shared" si="64"/>
        <v>1.7870254132867913E-3</v>
      </c>
      <c r="JV8" s="13">
        <v>7728396</v>
      </c>
      <c r="JW8" s="13">
        <f t="shared" si="65"/>
        <v>808152.16103677452</v>
      </c>
    </row>
    <row r="9" spans="1:294" ht="17.25" thickBot="1" x14ac:dyDescent="0.35">
      <c r="B9" s="338">
        <v>6</v>
      </c>
      <c r="C9" s="770" t="s">
        <v>51</v>
      </c>
      <c r="D9" s="906">
        <f>'DCA 8 month Phase I'!LR27+'DCA 8 month Phase I'!LT27</f>
        <v>3596621.1910385769</v>
      </c>
      <c r="E9" s="768">
        <v>3.1544206870466232E-2</v>
      </c>
      <c r="F9" s="769">
        <v>0.16318212105471561</v>
      </c>
      <c r="J9" s="338">
        <v>6</v>
      </c>
      <c r="K9" s="759">
        <v>6</v>
      </c>
      <c r="L9" s="518" t="s">
        <v>413</v>
      </c>
      <c r="M9" s="904">
        <v>8536548.1610367745</v>
      </c>
      <c r="N9" s="943">
        <f t="shared" si="66"/>
        <v>3.8731130175025754E-3</v>
      </c>
      <c r="O9" s="455">
        <v>1748.7241650294695</v>
      </c>
      <c r="P9" s="948">
        <f t="shared" si="67"/>
        <v>4881.5864341263432</v>
      </c>
      <c r="Q9" s="659">
        <f t="shared" si="68"/>
        <v>2.7646915160017813E-3</v>
      </c>
      <c r="R9" s="322" t="s">
        <v>397</v>
      </c>
      <c r="V9" s="734">
        <f t="shared" si="98"/>
        <v>6</v>
      </c>
      <c r="W9" s="735">
        <f t="shared" si="0"/>
        <v>6</v>
      </c>
      <c r="X9" s="518" t="s">
        <v>413</v>
      </c>
      <c r="Y9" s="924">
        <f t="shared" si="69"/>
        <v>465710.50087231852</v>
      </c>
      <c r="Z9" s="943">
        <f t="shared" si="70"/>
        <v>5.5644820232086658E-3</v>
      </c>
      <c r="AD9" s="734">
        <v>6</v>
      </c>
      <c r="AE9" s="146">
        <v>6</v>
      </c>
      <c r="AF9" s="347" t="s">
        <v>413</v>
      </c>
      <c r="AG9" s="369">
        <v>6.16</v>
      </c>
      <c r="AQ9" s="734">
        <f t="shared" si="71"/>
        <v>6</v>
      </c>
      <c r="AR9" s="787">
        <f t="shared" si="1"/>
        <v>6</v>
      </c>
      <c r="AS9" s="518" t="s">
        <v>413</v>
      </c>
      <c r="AT9" s="518">
        <f t="shared" si="2"/>
        <v>6.16</v>
      </c>
      <c r="AU9" s="788">
        <f t="shared" si="72"/>
        <v>8536548.1610367745</v>
      </c>
      <c r="AV9" s="788">
        <f t="shared" si="99"/>
        <v>14606.982408885149</v>
      </c>
      <c r="AW9" s="789">
        <f t="shared" si="3"/>
        <v>15117.660931674678</v>
      </c>
      <c r="AX9" s="790">
        <f t="shared" si="4"/>
        <v>18.336776074005567</v>
      </c>
      <c r="AY9" s="358">
        <f t="shared" si="108"/>
        <v>277209.16326686094</v>
      </c>
      <c r="AZ9" s="35">
        <f t="shared" si="73"/>
        <v>7.678121195858925E-3</v>
      </c>
      <c r="BA9" s="55">
        <f t="shared" si="5"/>
        <v>3.2473209999999999</v>
      </c>
      <c r="BL9" s="338">
        <f t="shared" si="100"/>
        <v>6</v>
      </c>
      <c r="BM9" s="322">
        <f t="shared" si="6"/>
        <v>6</v>
      </c>
      <c r="BN9" s="518" t="s">
        <v>413</v>
      </c>
      <c r="BO9" s="659">
        <f t="shared" si="7"/>
        <v>7.678121195858925E-3</v>
      </c>
      <c r="BP9" s="358">
        <f t="shared" si="74"/>
        <v>60316.240658004375</v>
      </c>
      <c r="BQ9" s="659">
        <f t="shared" si="8"/>
        <v>3.8731130175025754E-3</v>
      </c>
      <c r="BR9" s="358">
        <f t="shared" si="75"/>
        <v>30425.622479797483</v>
      </c>
      <c r="BS9" s="809">
        <f t="shared" si="9"/>
        <v>90741.863137801862</v>
      </c>
      <c r="BT9" s="810">
        <f t="shared" si="10"/>
        <v>1.062981</v>
      </c>
      <c r="BX9" s="421">
        <v>6</v>
      </c>
      <c r="BY9" s="63" t="s">
        <v>72</v>
      </c>
      <c r="BZ9" s="65">
        <f>SUM(BZ4:BZ8)</f>
        <v>1</v>
      </c>
      <c r="CA9" s="66">
        <v>22755368.059679482</v>
      </c>
      <c r="CB9" s="67"/>
      <c r="CC9" s="67"/>
      <c r="CD9" s="66">
        <f>SUM(CD4:CD8)</f>
        <v>5354240.1246443363</v>
      </c>
      <c r="CE9" s="66">
        <f>SUM(CE4:CE8)</f>
        <v>17401127.935035147</v>
      </c>
      <c r="CI9" s="734">
        <f t="shared" si="101"/>
        <v>6</v>
      </c>
      <c r="CJ9" s="146">
        <f t="shared" si="12"/>
        <v>6</v>
      </c>
      <c r="CK9" s="518" t="s">
        <v>413</v>
      </c>
      <c r="CL9" s="344">
        <f t="shared" si="13"/>
        <v>3.8731130175025754E-3</v>
      </c>
      <c r="CM9" s="20">
        <f t="shared" si="14"/>
        <v>20737.577125594591</v>
      </c>
      <c r="CN9" s="344">
        <f t="shared" si="15"/>
        <v>2.7646915160017813E-3</v>
      </c>
      <c r="CO9" s="20">
        <f t="shared" si="16"/>
        <v>48108.750770853265</v>
      </c>
      <c r="CP9" s="20">
        <f t="shared" si="17"/>
        <v>68846.327896447852</v>
      </c>
      <c r="CQ9" s="344">
        <f t="shared" si="18"/>
        <v>3.0254983226765519E-3</v>
      </c>
      <c r="CR9" s="342">
        <f t="shared" si="19"/>
        <v>0.80648900000000001</v>
      </c>
      <c r="DH9" s="734">
        <v>6</v>
      </c>
      <c r="DI9" s="745">
        <f t="shared" si="20"/>
        <v>6</v>
      </c>
      <c r="DJ9" s="518" t="s">
        <v>413</v>
      </c>
      <c r="DK9" s="344">
        <f t="shared" si="21"/>
        <v>3.0254983226765519E-3</v>
      </c>
      <c r="DL9" s="20">
        <f t="shared" si="77"/>
        <v>955.83979808584206</v>
      </c>
      <c r="DM9" s="344">
        <f t="shared" si="22"/>
        <v>2.7646915160017813E-3</v>
      </c>
      <c r="DN9" s="20">
        <f t="shared" si="23"/>
        <v>5405.5346072394786</v>
      </c>
      <c r="DO9" s="344">
        <f t="shared" si="24"/>
        <v>3.8731130175025754E-3</v>
      </c>
      <c r="DP9" s="20">
        <f t="shared" si="25"/>
        <v>12608.224072745945</v>
      </c>
      <c r="DQ9" s="20">
        <f t="shared" si="78"/>
        <v>18969.598478071264</v>
      </c>
      <c r="DR9" s="344">
        <f t="shared" si="26"/>
        <v>3.4325093769376732E-3</v>
      </c>
      <c r="DS9" s="342">
        <f t="shared" si="27"/>
        <v>0.222216</v>
      </c>
      <c r="DW9" s="734">
        <f t="shared" si="102"/>
        <v>6</v>
      </c>
      <c r="DX9" s="745">
        <f t="shared" si="28"/>
        <v>6</v>
      </c>
      <c r="DY9" s="518" t="s">
        <v>413</v>
      </c>
      <c r="DZ9" s="344">
        <f t="shared" si="29"/>
        <v>2.7646915160017813E-3</v>
      </c>
      <c r="EA9" s="20">
        <f t="shared" si="30"/>
        <v>9943.5480931365764</v>
      </c>
      <c r="EB9" s="342">
        <f t="shared" si="31"/>
        <v>0.116482</v>
      </c>
      <c r="EN9" s="734">
        <f t="shared" si="103"/>
        <v>6</v>
      </c>
      <c r="EO9" s="745">
        <f t="shared" si="32"/>
        <v>6</v>
      </c>
      <c r="EP9" s="518" t="s">
        <v>413</v>
      </c>
      <c r="EQ9" s="344">
        <f t="shared" si="33"/>
        <v>5.5644820232086658E-3</v>
      </c>
      <c r="ER9" s="20">
        <f t="shared" si="34"/>
        <v>39828.553857894585</v>
      </c>
      <c r="ES9" s="344">
        <f t="shared" si="35"/>
        <v>3.0254983226765519E-3</v>
      </c>
      <c r="ET9" s="20">
        <f t="shared" si="36"/>
        <v>2919.7490596580269</v>
      </c>
      <c r="EU9" s="344">
        <f t="shared" si="37"/>
        <v>3.8731130175025754E-3</v>
      </c>
      <c r="EV9" s="20">
        <f t="shared" si="38"/>
        <v>10014.006695984523</v>
      </c>
      <c r="EW9" s="20">
        <f t="shared" si="39"/>
        <v>52762.309613537131</v>
      </c>
      <c r="EX9" s="344">
        <f t="shared" si="40"/>
        <v>4.9272785217610738E-3</v>
      </c>
      <c r="EY9" s="342">
        <f t="shared" si="41"/>
        <v>0.61807500000000004</v>
      </c>
      <c r="FI9" s="734">
        <f t="shared" si="104"/>
        <v>6</v>
      </c>
      <c r="FJ9" s="735">
        <f t="shared" si="42"/>
        <v>6</v>
      </c>
      <c r="FK9" s="518" t="s">
        <v>413</v>
      </c>
      <c r="FL9" s="344">
        <f t="shared" si="43"/>
        <v>5.5644820232086658E-3</v>
      </c>
      <c r="FM9" s="20">
        <f t="shared" si="44"/>
        <v>104576.80825200427</v>
      </c>
      <c r="FN9" s="342">
        <f t="shared" si="45"/>
        <v>1.2250479999999999</v>
      </c>
      <c r="FR9" s="734">
        <f t="shared" si="105"/>
        <v>6</v>
      </c>
      <c r="FS9" s="735">
        <v>6</v>
      </c>
      <c r="FT9" s="518" t="s">
        <v>413</v>
      </c>
      <c r="FU9" s="20">
        <f t="shared" si="46"/>
        <v>277209.16326686094</v>
      </c>
      <c r="FV9" s="20">
        <f t="shared" si="47"/>
        <v>90741.863137801862</v>
      </c>
      <c r="FW9" s="20">
        <f t="shared" si="48"/>
        <v>68846.327896447852</v>
      </c>
      <c r="FX9" s="20">
        <f t="shared" si="49"/>
        <v>18969.598478071264</v>
      </c>
      <c r="FY9" s="20">
        <f t="shared" si="50"/>
        <v>9943.5480931365764</v>
      </c>
      <c r="FZ9" s="20">
        <f t="shared" si="51"/>
        <v>52762.309613537131</v>
      </c>
      <c r="GA9" s="20">
        <f t="shared" si="52"/>
        <v>104576.80825200427</v>
      </c>
      <c r="GB9" s="20">
        <f t="shared" si="53"/>
        <v>623049.61873785988</v>
      </c>
      <c r="GC9" s="414">
        <f t="shared" si="54"/>
        <v>7.2986129999999996</v>
      </c>
      <c r="GG9" s="734">
        <f t="shared" si="79"/>
        <v>6</v>
      </c>
      <c r="GH9" s="735">
        <f t="shared" si="55"/>
        <v>6</v>
      </c>
      <c r="GI9" s="518" t="s">
        <v>413</v>
      </c>
      <c r="GJ9" s="342">
        <f t="shared" si="56"/>
        <v>3.2473209999999999</v>
      </c>
      <c r="GK9" s="342">
        <f t="shared" si="57"/>
        <v>1.062981</v>
      </c>
      <c r="GL9" s="342">
        <f t="shared" si="58"/>
        <v>0.80648900000000001</v>
      </c>
      <c r="GM9" s="342">
        <f t="shared" si="59"/>
        <v>0.222216</v>
      </c>
      <c r="GN9" s="342">
        <f t="shared" si="60"/>
        <v>0.116482</v>
      </c>
      <c r="GO9" s="342">
        <f t="shared" si="61"/>
        <v>0.61807500000000004</v>
      </c>
      <c r="GP9" s="342">
        <f t="shared" si="62"/>
        <v>1.2250479999999999</v>
      </c>
      <c r="GQ9" s="342">
        <f t="shared" si="63"/>
        <v>7.2986129999999996</v>
      </c>
      <c r="GR9" s="788">
        <f t="shared" si="80"/>
        <v>8536548.1610367745</v>
      </c>
      <c r="GS9" s="716"/>
      <c r="GV9" s="718">
        <f t="shared" si="81"/>
        <v>6</v>
      </c>
      <c r="GW9" s="735">
        <v>6</v>
      </c>
      <c r="GX9" s="518" t="s">
        <v>413</v>
      </c>
      <c r="GY9" s="322" t="s">
        <v>397</v>
      </c>
      <c r="GZ9" s="924">
        <f t="shared" si="82"/>
        <v>623049.61873785988</v>
      </c>
      <c r="HA9" s="788">
        <f t="shared" si="83"/>
        <v>8536548.1610367745</v>
      </c>
      <c r="HB9" s="922">
        <f t="shared" ref="HB9:HB27" si="109">ROUND(IF(HA9&lt;&gt;0,GZ9/HA9*100,0),6)</f>
        <v>7.2986129999999996</v>
      </c>
      <c r="HC9" s="942">
        <f t="shared" si="85"/>
        <v>623049.61383269099</v>
      </c>
      <c r="HD9" s="858">
        <v>2.5401523569598794E-2</v>
      </c>
      <c r="HE9" s="54"/>
      <c r="HH9" s="54"/>
      <c r="HI9" s="54"/>
      <c r="HJ9" s="54"/>
      <c r="HK9" s="54"/>
      <c r="HL9" s="54"/>
      <c r="HM9" s="54"/>
      <c r="HN9" s="54"/>
      <c r="HQ9" s="734">
        <v>6</v>
      </c>
      <c r="HR9" s="869">
        <v>6</v>
      </c>
      <c r="HS9" s="518" t="s">
        <v>413</v>
      </c>
      <c r="HT9" s="788">
        <f t="shared" si="86"/>
        <v>8536548.1610367745</v>
      </c>
      <c r="HU9" s="917">
        <f t="shared" si="87"/>
        <v>7.2986129999999996</v>
      </c>
      <c r="HV9" s="870"/>
      <c r="HW9" s="768"/>
      <c r="HX9" s="870">
        <v>-2.1061819999999996</v>
      </c>
      <c r="HY9" s="769">
        <v>10</v>
      </c>
      <c r="IP9" s="734">
        <v>6</v>
      </c>
      <c r="IQ9" s="869">
        <v>6</v>
      </c>
      <c r="IR9" s="518" t="s">
        <v>413</v>
      </c>
      <c r="IS9" s="913">
        <f t="shared" si="106"/>
        <v>623049.61383269099</v>
      </c>
      <c r="IT9" s="915">
        <f t="shared" si="88"/>
        <v>8536548.1610367745</v>
      </c>
      <c r="IU9" s="919">
        <f t="shared" si="89"/>
        <v>7.2986129999999996</v>
      </c>
      <c r="IV9" s="904">
        <f t="shared" ref="IV9:IV14" si="110">IT9*$IK$4/(1-$IL$4)</f>
        <v>1248020.850449081</v>
      </c>
      <c r="IW9" s="904">
        <f t="shared" si="91"/>
        <v>7288527.310587693</v>
      </c>
      <c r="IX9" s="913">
        <f t="shared" ref="IX9:IX14" si="111">IV9*$II$4</f>
        <v>18720.312756736213</v>
      </c>
      <c r="IY9" s="882">
        <f t="shared" si="93"/>
        <v>604329.30107595481</v>
      </c>
      <c r="IZ9" s="928">
        <f t="shared" ref="IZ9:IZ14" si="112">100*IY9/IT9</f>
        <v>7.079316951953543</v>
      </c>
      <c r="JA9" s="928">
        <f t="shared" ref="JA9:JA14" si="113">IZ9+1.5</f>
        <v>8.5793169519535439</v>
      </c>
      <c r="JB9" s="913">
        <f t="shared" si="107"/>
        <v>623049.61383269099</v>
      </c>
      <c r="JC9" s="883">
        <v>0.22223336728629928</v>
      </c>
      <c r="JG9" s="734">
        <v>6</v>
      </c>
      <c r="JH9" s="869">
        <v>6</v>
      </c>
      <c r="JI9" s="518" t="s">
        <v>413</v>
      </c>
      <c r="JJ9" s="788">
        <f t="shared" si="96"/>
        <v>8536548.1610367745</v>
      </c>
      <c r="JK9" s="917">
        <f t="shared" si="97"/>
        <v>7.079316951953543</v>
      </c>
      <c r="JL9" s="870">
        <v>9.234</v>
      </c>
      <c r="JM9" s="768"/>
      <c r="JN9" s="870"/>
      <c r="JO9" s="769">
        <v>10</v>
      </c>
      <c r="JT9" s="936">
        <v>6.961513926540257</v>
      </c>
      <c r="JU9" s="936">
        <f t="shared" si="64"/>
        <v>5.2802541328489383E-4</v>
      </c>
      <c r="JV9" s="13">
        <v>39453520</v>
      </c>
      <c r="JW9" s="13">
        <f t="shared" si="65"/>
        <v>753302.96558546275</v>
      </c>
    </row>
    <row r="10" spans="1:294" x14ac:dyDescent="0.3">
      <c r="B10" s="756">
        <v>7</v>
      </c>
      <c r="C10" s="764" t="s">
        <v>54</v>
      </c>
      <c r="D10" s="906">
        <f>'DCA 8 month Phase I'!LX27</f>
        <v>10708205.225362252</v>
      </c>
      <c r="E10" s="765">
        <v>9.3916435148038185E-2</v>
      </c>
      <c r="F10" s="766">
        <v>0.48584144633236104</v>
      </c>
      <c r="J10" s="756">
        <v>7</v>
      </c>
      <c r="K10" s="757">
        <v>7</v>
      </c>
      <c r="L10" s="732" t="s">
        <v>414</v>
      </c>
      <c r="M10" s="904">
        <v>40206822.965585463</v>
      </c>
      <c r="N10" s="944">
        <f t="shared" si="66"/>
        <v>1.8242217636773396E-2</v>
      </c>
      <c r="O10" s="753">
        <v>896.12073276521915</v>
      </c>
      <c r="P10" s="948">
        <f t="shared" si="67"/>
        <v>44867.640592932832</v>
      </c>
      <c r="Q10" s="733">
        <f t="shared" si="68"/>
        <v>2.5410834564583283E-2</v>
      </c>
      <c r="R10" s="758" t="s">
        <v>397</v>
      </c>
      <c r="V10" s="730">
        <f t="shared" si="98"/>
        <v>7</v>
      </c>
      <c r="W10" s="731">
        <f t="shared" si="0"/>
        <v>7</v>
      </c>
      <c r="X10" s="732" t="s">
        <v>414</v>
      </c>
      <c r="Y10" s="924">
        <f t="shared" si="69"/>
        <v>2150507.9249054738</v>
      </c>
      <c r="Z10" s="944">
        <f t="shared" si="70"/>
        <v>2.5695067357274524E-2</v>
      </c>
      <c r="AD10" s="730">
        <v>7</v>
      </c>
      <c r="AE10" s="746">
        <v>7</v>
      </c>
      <c r="AF10" s="747" t="s">
        <v>414</v>
      </c>
      <c r="AG10" s="748">
        <v>4.88</v>
      </c>
      <c r="AQ10" s="730">
        <f t="shared" si="71"/>
        <v>7</v>
      </c>
      <c r="AR10" s="783">
        <f t="shared" si="1"/>
        <v>7</v>
      </c>
      <c r="AS10" s="732" t="s">
        <v>414</v>
      </c>
      <c r="AT10" s="732">
        <f t="shared" si="2"/>
        <v>4.88</v>
      </c>
      <c r="AU10" s="784">
        <f t="shared" si="72"/>
        <v>40206822.965585463</v>
      </c>
      <c r="AV10" s="784">
        <f t="shared" si="99"/>
        <v>54502.582242238073</v>
      </c>
      <c r="AW10" s="785">
        <f t="shared" si="3"/>
        <v>56408.061239101284</v>
      </c>
      <c r="AX10" s="786">
        <f t="shared" si="4"/>
        <v>18.336776074005567</v>
      </c>
      <c r="AY10" s="379">
        <f t="shared" si="108"/>
        <v>1034341.9877101933</v>
      </c>
      <c r="AZ10" s="51">
        <f t="shared" si="73"/>
        <v>2.8649136435505023E-2</v>
      </c>
      <c r="BA10" s="53">
        <f t="shared" si="5"/>
        <v>2.5725530000000001</v>
      </c>
      <c r="BL10" s="756">
        <f t="shared" si="100"/>
        <v>7</v>
      </c>
      <c r="BM10" s="758">
        <f t="shared" si="6"/>
        <v>7</v>
      </c>
      <c r="BN10" s="732" t="s">
        <v>414</v>
      </c>
      <c r="BO10" s="733">
        <f t="shared" si="7"/>
        <v>2.8649136435505023E-2</v>
      </c>
      <c r="BP10" s="379">
        <f t="shared" si="74"/>
        <v>225056.12555580612</v>
      </c>
      <c r="BQ10" s="733">
        <f t="shared" si="8"/>
        <v>1.8242217636773396E-2</v>
      </c>
      <c r="BR10" s="379">
        <f t="shared" si="75"/>
        <v>143303.54536585679</v>
      </c>
      <c r="BS10" s="807">
        <f t="shared" si="9"/>
        <v>368359.67092166294</v>
      </c>
      <c r="BT10" s="808">
        <f t="shared" si="10"/>
        <v>0.91616200000000003</v>
      </c>
      <c r="BW10" s="1"/>
      <c r="BX10" s="280"/>
      <c r="BY10" s="10"/>
      <c r="BZ10" s="10"/>
      <c r="CA10" s="10"/>
      <c r="CB10" s="10"/>
      <c r="CC10" s="10"/>
      <c r="CD10" s="10"/>
      <c r="CE10" s="10"/>
      <c r="CI10" s="730">
        <f t="shared" si="101"/>
        <v>7</v>
      </c>
      <c r="CJ10" s="746">
        <f t="shared" si="12"/>
        <v>7</v>
      </c>
      <c r="CK10" s="732" t="s">
        <v>414</v>
      </c>
      <c r="CL10" s="733">
        <f t="shared" si="13"/>
        <v>1.8242217636773396E-2</v>
      </c>
      <c r="CM10" s="379">
        <f t="shared" si="14"/>
        <v>97673.213633306703</v>
      </c>
      <c r="CN10" s="733">
        <f t="shared" si="15"/>
        <v>2.5410834564583283E-2</v>
      </c>
      <c r="CO10" s="379">
        <f t="shared" si="16"/>
        <v>442177.18319432682</v>
      </c>
      <c r="CP10" s="379">
        <f t="shared" si="17"/>
        <v>539850.39682763349</v>
      </c>
      <c r="CQ10" s="733">
        <f t="shared" si="18"/>
        <v>2.3724089868016728E-2</v>
      </c>
      <c r="CR10" s="808">
        <f t="shared" si="19"/>
        <v>1.342684</v>
      </c>
      <c r="DC10" s="2" t="s">
        <v>445</v>
      </c>
      <c r="DD10" s="912">
        <v>5448128.1456260383</v>
      </c>
      <c r="DE10" s="1"/>
      <c r="DH10" s="730">
        <v>7</v>
      </c>
      <c r="DI10" s="840">
        <f t="shared" si="20"/>
        <v>7</v>
      </c>
      <c r="DJ10" s="732" t="s">
        <v>414</v>
      </c>
      <c r="DK10" s="733">
        <f t="shared" si="21"/>
        <v>2.3724089868016728E-2</v>
      </c>
      <c r="DL10" s="379">
        <f t="shared" si="77"/>
        <v>7495.1055498039213</v>
      </c>
      <c r="DM10" s="733">
        <f t="shared" si="22"/>
        <v>2.5410834564583283E-2</v>
      </c>
      <c r="DN10" s="379">
        <f t="shared" si="23"/>
        <v>49683.353402240326</v>
      </c>
      <c r="DO10" s="733">
        <f t="shared" si="24"/>
        <v>1.8242217636773396E-2</v>
      </c>
      <c r="DP10" s="379">
        <f t="shared" si="25"/>
        <v>59384.264416984319</v>
      </c>
      <c r="DQ10" s="379">
        <f t="shared" si="78"/>
        <v>116562.72336902856</v>
      </c>
      <c r="DR10" s="733">
        <f t="shared" si="26"/>
        <v>2.1091782276156174E-2</v>
      </c>
      <c r="DS10" s="808">
        <f t="shared" si="27"/>
        <v>0.289908</v>
      </c>
      <c r="DW10" s="730">
        <f t="shared" si="102"/>
        <v>7</v>
      </c>
      <c r="DX10" s="840">
        <f t="shared" si="28"/>
        <v>7</v>
      </c>
      <c r="DY10" s="732" t="s">
        <v>414</v>
      </c>
      <c r="DZ10" s="733">
        <f t="shared" si="29"/>
        <v>2.5410834564583283E-2</v>
      </c>
      <c r="EA10" s="379">
        <f t="shared" si="30"/>
        <v>91393.14607695576</v>
      </c>
      <c r="EB10" s="808">
        <f t="shared" si="31"/>
        <v>0.22730800000000001</v>
      </c>
      <c r="EH10" s="4"/>
      <c r="EI10" s="4"/>
      <c r="EJ10" s="4"/>
      <c r="EN10" s="730">
        <f t="shared" si="103"/>
        <v>7</v>
      </c>
      <c r="EO10" s="840">
        <f t="shared" si="32"/>
        <v>7</v>
      </c>
      <c r="EP10" s="732" t="s">
        <v>414</v>
      </c>
      <c r="EQ10" s="733">
        <f t="shared" si="33"/>
        <v>2.5695067357274524E-2</v>
      </c>
      <c r="ER10" s="379">
        <f t="shared" si="34"/>
        <v>183916.01767298233</v>
      </c>
      <c r="ES10" s="733">
        <f t="shared" si="35"/>
        <v>2.3724089868016728E-2</v>
      </c>
      <c r="ET10" s="379">
        <f t="shared" si="36"/>
        <v>22894.869438269943</v>
      </c>
      <c r="EU10" s="733">
        <f t="shared" si="37"/>
        <v>1.8242217636773396E-2</v>
      </c>
      <c r="EV10" s="379">
        <f t="shared" si="38"/>
        <v>47165.597476432093</v>
      </c>
      <c r="EW10" s="379">
        <f t="shared" si="39"/>
        <v>253976.48458768436</v>
      </c>
      <c r="EX10" s="733">
        <f t="shared" si="40"/>
        <v>2.3717932113043943E-2</v>
      </c>
      <c r="EY10" s="808">
        <f t="shared" si="41"/>
        <v>0.63167499999999999</v>
      </c>
      <c r="FI10" s="730">
        <f t="shared" si="104"/>
        <v>7</v>
      </c>
      <c r="FJ10" s="731">
        <f t="shared" si="42"/>
        <v>7</v>
      </c>
      <c r="FK10" s="732" t="s">
        <v>414</v>
      </c>
      <c r="FL10" s="733">
        <f t="shared" si="43"/>
        <v>2.5695067357274524E-2</v>
      </c>
      <c r="FM10" s="379">
        <f t="shared" si="44"/>
        <v>482903.55163993425</v>
      </c>
      <c r="FN10" s="808">
        <f t="shared" si="45"/>
        <v>1.201049</v>
      </c>
      <c r="FR10" s="730">
        <f t="shared" si="105"/>
        <v>7</v>
      </c>
      <c r="FS10" s="731">
        <v>7</v>
      </c>
      <c r="FT10" s="732" t="s">
        <v>414</v>
      </c>
      <c r="FU10" s="379">
        <f t="shared" si="46"/>
        <v>1034341.9877101933</v>
      </c>
      <c r="FV10" s="379">
        <f t="shared" si="47"/>
        <v>368359.67092166294</v>
      </c>
      <c r="FW10" s="379">
        <f t="shared" si="48"/>
        <v>539850.39682763349</v>
      </c>
      <c r="FX10" s="379">
        <f t="shared" si="49"/>
        <v>116562.72336902856</v>
      </c>
      <c r="FY10" s="379">
        <f t="shared" si="50"/>
        <v>91393.14607695576</v>
      </c>
      <c r="FZ10" s="379">
        <f t="shared" si="51"/>
        <v>253976.48458768436</v>
      </c>
      <c r="GA10" s="379">
        <f t="shared" si="52"/>
        <v>482903.55163993425</v>
      </c>
      <c r="GB10" s="379">
        <f t="shared" si="53"/>
        <v>2887387.9611330922</v>
      </c>
      <c r="GC10" s="852">
        <f t="shared" si="54"/>
        <v>7.1813380000000002</v>
      </c>
      <c r="GG10" s="730">
        <f t="shared" si="79"/>
        <v>7</v>
      </c>
      <c r="GH10" s="731">
        <f t="shared" si="55"/>
        <v>7</v>
      </c>
      <c r="GI10" s="732" t="s">
        <v>414</v>
      </c>
      <c r="GJ10" s="808">
        <f t="shared" si="56"/>
        <v>2.5725530000000001</v>
      </c>
      <c r="GK10" s="808">
        <f t="shared" si="57"/>
        <v>0.91616200000000003</v>
      </c>
      <c r="GL10" s="808">
        <f t="shared" si="58"/>
        <v>1.342684</v>
      </c>
      <c r="GM10" s="808">
        <f t="shared" si="59"/>
        <v>0.289908</v>
      </c>
      <c r="GN10" s="808">
        <f t="shared" si="60"/>
        <v>0.22730800000000001</v>
      </c>
      <c r="GO10" s="808">
        <f t="shared" si="61"/>
        <v>0.63167499999999999</v>
      </c>
      <c r="GP10" s="808">
        <f t="shared" si="62"/>
        <v>1.201049</v>
      </c>
      <c r="GQ10" s="808">
        <f t="shared" si="63"/>
        <v>7.1813380000000002</v>
      </c>
      <c r="GR10" s="784">
        <f t="shared" si="80"/>
        <v>40206822.965585463</v>
      </c>
      <c r="GS10" s="716"/>
      <c r="GV10" s="717">
        <f t="shared" si="81"/>
        <v>7</v>
      </c>
      <c r="GW10" s="731">
        <v>7</v>
      </c>
      <c r="GX10" s="732" t="s">
        <v>414</v>
      </c>
      <c r="GY10" s="758" t="s">
        <v>397</v>
      </c>
      <c r="GZ10" s="906">
        <f t="shared" si="82"/>
        <v>2887387.9611330922</v>
      </c>
      <c r="HA10" s="784">
        <f t="shared" si="83"/>
        <v>40206822.965585463</v>
      </c>
      <c r="HB10" s="922">
        <f t="shared" si="109"/>
        <v>7.1813380000000002</v>
      </c>
      <c r="HC10" s="942">
        <f t="shared" si="85"/>
        <v>2887387.8562203157</v>
      </c>
      <c r="HD10" s="857">
        <v>-0.10420352779328823</v>
      </c>
      <c r="HE10" s="54"/>
      <c r="HH10" s="54"/>
      <c r="HI10" s="54"/>
      <c r="HJ10" s="54"/>
      <c r="HK10" s="54"/>
      <c r="HL10" s="54"/>
      <c r="HM10" s="54"/>
      <c r="HN10" s="54"/>
      <c r="HQ10" s="730">
        <v>7</v>
      </c>
      <c r="HR10" s="867">
        <v>7</v>
      </c>
      <c r="HS10" s="732" t="s">
        <v>414</v>
      </c>
      <c r="HT10" s="784">
        <f t="shared" si="86"/>
        <v>40206822.965585463</v>
      </c>
      <c r="HU10" s="917">
        <f t="shared" si="87"/>
        <v>7.1813380000000002</v>
      </c>
      <c r="HV10" s="868"/>
      <c r="HW10" s="765"/>
      <c r="HX10" s="868">
        <v>-1.6458860000000008</v>
      </c>
      <c r="HY10" s="766">
        <v>10</v>
      </c>
      <c r="IP10" s="730">
        <v>7</v>
      </c>
      <c r="IQ10" s="867">
        <v>7</v>
      </c>
      <c r="IR10" s="732" t="s">
        <v>414</v>
      </c>
      <c r="IS10" s="913">
        <f t="shared" si="106"/>
        <v>2887387.8562203157</v>
      </c>
      <c r="IT10" s="915">
        <f t="shared" si="88"/>
        <v>40206822.965585463</v>
      </c>
      <c r="IU10" s="918">
        <f t="shared" si="89"/>
        <v>7.1813380000000002</v>
      </c>
      <c r="IV10" s="904">
        <f t="shared" si="110"/>
        <v>5878131.5872376356</v>
      </c>
      <c r="IW10" s="904">
        <f t="shared" si="91"/>
        <v>34328691.378347829</v>
      </c>
      <c r="IX10" s="913">
        <f t="shared" si="111"/>
        <v>88171.973808564537</v>
      </c>
      <c r="IY10" s="881">
        <f t="shared" si="93"/>
        <v>2799215.882411751</v>
      </c>
      <c r="IZ10" s="928">
        <f t="shared" si="112"/>
        <v>6.9620419519535419</v>
      </c>
      <c r="JA10" s="928">
        <f t="shared" si="113"/>
        <v>8.462041951953541</v>
      </c>
      <c r="JB10" s="913">
        <f t="shared" si="107"/>
        <v>2887387.8562203157</v>
      </c>
      <c r="JC10" s="852">
        <v>0.22223282916511877</v>
      </c>
      <c r="JG10" s="730">
        <v>7</v>
      </c>
      <c r="JH10" s="867">
        <v>7</v>
      </c>
      <c r="JI10" s="732" t="s">
        <v>414</v>
      </c>
      <c r="JJ10" s="784">
        <f t="shared" si="96"/>
        <v>40206822.965585463</v>
      </c>
      <c r="JK10" s="917">
        <f t="shared" si="97"/>
        <v>6.9620419519535419</v>
      </c>
      <c r="JL10" s="868">
        <v>8.6649999999999991</v>
      </c>
      <c r="JM10" s="765"/>
      <c r="JN10" s="868"/>
      <c r="JO10" s="766">
        <v>10</v>
      </c>
      <c r="JT10" s="936">
        <v>13.512674926540257</v>
      </c>
      <c r="JU10" s="936">
        <f t="shared" si="64"/>
        <v>4.6302541328557822E-4</v>
      </c>
      <c r="JV10" s="13">
        <v>26972258</v>
      </c>
      <c r="JW10" s="13">
        <f t="shared" si="65"/>
        <v>801905.45789838582</v>
      </c>
    </row>
    <row r="11" spans="1:294" x14ac:dyDescent="0.3">
      <c r="B11" s="338">
        <v>8</v>
      </c>
      <c r="C11" s="767" t="s">
        <v>250</v>
      </c>
      <c r="D11" s="906">
        <f>'DCA 8 month Phase I'!MT13</f>
        <v>18998322.143907189</v>
      </c>
      <c r="E11" s="768">
        <v>0.16902044974442379</v>
      </c>
      <c r="F11" s="769">
        <v>0.87436389205081888</v>
      </c>
      <c r="J11" s="338">
        <v>8</v>
      </c>
      <c r="K11" s="759">
        <v>8</v>
      </c>
      <c r="L11" s="518" t="s">
        <v>415</v>
      </c>
      <c r="M11" s="904">
        <v>27774163.457898386</v>
      </c>
      <c r="N11" s="943">
        <f t="shared" si="66"/>
        <v>1.260140187927737E-2</v>
      </c>
      <c r="O11" s="455">
        <v>362.05552889365669</v>
      </c>
      <c r="P11" s="948">
        <f t="shared" si="67"/>
        <v>76712.441162737334</v>
      </c>
      <c r="Q11" s="659">
        <f t="shared" si="68"/>
        <v>4.3446170239196585E-2</v>
      </c>
      <c r="R11" s="322" t="s">
        <v>397</v>
      </c>
      <c r="V11" s="734">
        <f t="shared" si="98"/>
        <v>8</v>
      </c>
      <c r="W11" s="735">
        <f t="shared" si="0"/>
        <v>8</v>
      </c>
      <c r="X11" s="518" t="s">
        <v>415</v>
      </c>
      <c r="Y11" s="924">
        <f t="shared" si="69"/>
        <v>2859807.7463130341</v>
      </c>
      <c r="Z11" s="943">
        <f t="shared" si="70"/>
        <v>3.4170045048124542E-2</v>
      </c>
      <c r="AD11" s="734">
        <v>8</v>
      </c>
      <c r="AE11" s="146">
        <v>8</v>
      </c>
      <c r="AF11" s="347" t="s">
        <v>415</v>
      </c>
      <c r="AG11" s="369">
        <v>9.2200000000000006</v>
      </c>
      <c r="AQ11" s="734">
        <f t="shared" si="71"/>
        <v>8</v>
      </c>
      <c r="AR11" s="787">
        <f t="shared" si="1"/>
        <v>8</v>
      </c>
      <c r="AS11" s="518" t="s">
        <v>415</v>
      </c>
      <c r="AT11" s="518">
        <f t="shared" si="2"/>
        <v>9.2200000000000006</v>
      </c>
      <c r="AU11" s="788">
        <f t="shared" si="72"/>
        <v>27774163.457898386</v>
      </c>
      <c r="AV11" s="788">
        <f t="shared" si="99"/>
        <v>71132.718633839759</v>
      </c>
      <c r="AW11" s="789">
        <f t="shared" si="3"/>
        <v>73619.608167699698</v>
      </c>
      <c r="AX11" s="790">
        <f t="shared" si="4"/>
        <v>18.336776074005567</v>
      </c>
      <c r="AY11" s="358">
        <f t="shared" si="108"/>
        <v>1349946.2696271406</v>
      </c>
      <c r="AZ11" s="35">
        <f t="shared" si="73"/>
        <v>3.739072310577523E-2</v>
      </c>
      <c r="BA11" s="55">
        <f t="shared" si="5"/>
        <v>4.8604390000000004</v>
      </c>
      <c r="BL11" s="338">
        <f t="shared" si="100"/>
        <v>8</v>
      </c>
      <c r="BM11" s="322">
        <f t="shared" si="6"/>
        <v>8</v>
      </c>
      <c r="BN11" s="518" t="s">
        <v>415</v>
      </c>
      <c r="BO11" s="659">
        <f t="shared" si="7"/>
        <v>3.739072310577523E-2</v>
      </c>
      <c r="BP11" s="358">
        <f t="shared" si="74"/>
        <v>293726.5244577133</v>
      </c>
      <c r="BQ11" s="659">
        <f t="shared" si="8"/>
        <v>1.260140187927737E-2</v>
      </c>
      <c r="BR11" s="358">
        <f t="shared" si="75"/>
        <v>98991.55913150392</v>
      </c>
      <c r="BS11" s="809">
        <f t="shared" si="9"/>
        <v>392718.08358921722</v>
      </c>
      <c r="BT11" s="810">
        <f t="shared" si="10"/>
        <v>1.413969</v>
      </c>
      <c r="BW11" s="1"/>
      <c r="BX11" s="10"/>
      <c r="BY11" s="10"/>
      <c r="BZ11" s="10"/>
      <c r="CA11" s="10"/>
      <c r="CB11" s="10"/>
      <c r="CC11" s="10"/>
      <c r="CD11" s="10"/>
      <c r="CE11" s="10"/>
      <c r="CI11" s="734">
        <f t="shared" si="101"/>
        <v>8</v>
      </c>
      <c r="CJ11" s="146">
        <f t="shared" si="12"/>
        <v>8</v>
      </c>
      <c r="CK11" s="518" t="s">
        <v>415</v>
      </c>
      <c r="CL11" s="344">
        <f t="shared" si="13"/>
        <v>1.260140187927737E-2</v>
      </c>
      <c r="CM11" s="20">
        <f t="shared" si="14"/>
        <v>67470.931568795437</v>
      </c>
      <c r="CN11" s="344">
        <f t="shared" si="15"/>
        <v>4.3446170239196585E-2</v>
      </c>
      <c r="CO11" s="20">
        <f t="shared" si="16"/>
        <v>756012.36661957635</v>
      </c>
      <c r="CP11" s="20">
        <f t="shared" si="17"/>
        <v>823483.29818837182</v>
      </c>
      <c r="CQ11" s="344">
        <f t="shared" si="18"/>
        <v>3.6188529055151256E-2</v>
      </c>
      <c r="CR11" s="342">
        <f t="shared" si="19"/>
        <v>2.9649260000000002</v>
      </c>
      <c r="DC11" s="2" t="s">
        <v>456</v>
      </c>
      <c r="DD11" s="5">
        <v>0.70758002106159879</v>
      </c>
      <c r="DE11" s="1"/>
      <c r="DH11" s="734">
        <v>8</v>
      </c>
      <c r="DI11" s="745">
        <f t="shared" si="20"/>
        <v>8</v>
      </c>
      <c r="DJ11" s="518" t="s">
        <v>415</v>
      </c>
      <c r="DK11" s="344">
        <f t="shared" si="21"/>
        <v>3.6188529055151256E-2</v>
      </c>
      <c r="DL11" s="20">
        <f t="shared" si="77"/>
        <v>11432.971568960733</v>
      </c>
      <c r="DM11" s="344">
        <f t="shared" si="22"/>
        <v>4.3446170239196585E-2</v>
      </c>
      <c r="DN11" s="20">
        <f t="shared" si="23"/>
        <v>84946.105350526836</v>
      </c>
      <c r="DO11" s="344">
        <f t="shared" si="24"/>
        <v>1.260140187927737E-2</v>
      </c>
      <c r="DP11" s="20">
        <f t="shared" si="25"/>
        <v>41021.601437052632</v>
      </c>
      <c r="DQ11" s="20">
        <f t="shared" si="78"/>
        <v>137400.67835654019</v>
      </c>
      <c r="DR11" s="344">
        <f t="shared" si="26"/>
        <v>2.4862366876221533E-2</v>
      </c>
      <c r="DS11" s="342">
        <f t="shared" si="27"/>
        <v>0.49470700000000001</v>
      </c>
      <c r="DW11" s="734">
        <f t="shared" si="102"/>
        <v>8</v>
      </c>
      <c r="DX11" s="745">
        <f t="shared" si="28"/>
        <v>8</v>
      </c>
      <c r="DY11" s="518" t="s">
        <v>415</v>
      </c>
      <c r="DZ11" s="344">
        <f t="shared" si="29"/>
        <v>4.3446170239196585E-2</v>
      </c>
      <c r="EA11" s="20">
        <f t="shared" si="30"/>
        <v>156259.41655176401</v>
      </c>
      <c r="EB11" s="342">
        <f t="shared" si="31"/>
        <v>0.56260699999999997</v>
      </c>
      <c r="EH11" s="4"/>
      <c r="EI11" s="4"/>
      <c r="EJ11" s="4"/>
      <c r="EN11" s="734">
        <f t="shared" si="103"/>
        <v>8</v>
      </c>
      <c r="EO11" s="745">
        <f t="shared" si="32"/>
        <v>8</v>
      </c>
      <c r="EP11" s="518" t="s">
        <v>415</v>
      </c>
      <c r="EQ11" s="344">
        <f t="shared" si="33"/>
        <v>3.4170045048124542E-2</v>
      </c>
      <c r="ER11" s="20">
        <f t="shared" si="34"/>
        <v>244576.84899503857</v>
      </c>
      <c r="ES11" s="344">
        <f t="shared" si="35"/>
        <v>3.6188529055151256E-2</v>
      </c>
      <c r="ET11" s="20">
        <f t="shared" si="36"/>
        <v>34923.643119296168</v>
      </c>
      <c r="EU11" s="344">
        <f t="shared" si="37"/>
        <v>1.260140187927737E-2</v>
      </c>
      <c r="EV11" s="20">
        <f t="shared" si="38"/>
        <v>32581.162033646135</v>
      </c>
      <c r="EW11" s="20">
        <f t="shared" si="39"/>
        <v>312081.65414798085</v>
      </c>
      <c r="EX11" s="344">
        <f t="shared" si="40"/>
        <v>2.9144160723481395E-2</v>
      </c>
      <c r="EY11" s="342">
        <f t="shared" si="41"/>
        <v>1.12364</v>
      </c>
      <c r="FI11" s="734">
        <f t="shared" si="104"/>
        <v>8</v>
      </c>
      <c r="FJ11" s="735">
        <f t="shared" si="42"/>
        <v>8</v>
      </c>
      <c r="FK11" s="518" t="s">
        <v>415</v>
      </c>
      <c r="FL11" s="344">
        <f t="shared" si="43"/>
        <v>3.4170045048124542E-2</v>
      </c>
      <c r="FM11" s="20">
        <f t="shared" si="44"/>
        <v>642179.13438410743</v>
      </c>
      <c r="FN11" s="342">
        <f t="shared" si="45"/>
        <v>2.3121459999999998</v>
      </c>
      <c r="FR11" s="734">
        <f t="shared" si="105"/>
        <v>8</v>
      </c>
      <c r="FS11" s="735">
        <v>8</v>
      </c>
      <c r="FT11" s="518" t="s">
        <v>415</v>
      </c>
      <c r="FU11" s="20">
        <f t="shared" si="46"/>
        <v>1349946.2696271406</v>
      </c>
      <c r="FV11" s="20">
        <f t="shared" si="47"/>
        <v>392718.08358921722</v>
      </c>
      <c r="FW11" s="20">
        <f t="shared" si="48"/>
        <v>823483.29818837182</v>
      </c>
      <c r="FX11" s="20">
        <f t="shared" si="49"/>
        <v>137400.67835654019</v>
      </c>
      <c r="FY11" s="20">
        <f t="shared" si="50"/>
        <v>156259.41655176401</v>
      </c>
      <c r="FZ11" s="20">
        <f t="shared" si="51"/>
        <v>312081.65414798085</v>
      </c>
      <c r="GA11" s="20">
        <f t="shared" si="52"/>
        <v>642179.13438410743</v>
      </c>
      <c r="GB11" s="20">
        <f t="shared" si="53"/>
        <v>3814068.5348451221</v>
      </c>
      <c r="GC11" s="414">
        <f t="shared" si="54"/>
        <v>13.732434</v>
      </c>
      <c r="GG11" s="734">
        <f t="shared" si="79"/>
        <v>8</v>
      </c>
      <c r="GH11" s="735">
        <f t="shared" si="55"/>
        <v>8</v>
      </c>
      <c r="GI11" s="518" t="s">
        <v>415</v>
      </c>
      <c r="GJ11" s="342">
        <f t="shared" si="56"/>
        <v>4.8604390000000004</v>
      </c>
      <c r="GK11" s="342">
        <f t="shared" si="57"/>
        <v>1.413969</v>
      </c>
      <c r="GL11" s="342">
        <f t="shared" si="58"/>
        <v>2.9649260000000002</v>
      </c>
      <c r="GM11" s="342">
        <f t="shared" si="59"/>
        <v>0.49470700000000001</v>
      </c>
      <c r="GN11" s="342">
        <f t="shared" si="60"/>
        <v>0.56260699999999997</v>
      </c>
      <c r="GO11" s="342">
        <f t="shared" si="61"/>
        <v>1.12364</v>
      </c>
      <c r="GP11" s="342">
        <f t="shared" si="62"/>
        <v>2.3121459999999998</v>
      </c>
      <c r="GQ11" s="342">
        <f t="shared" si="63"/>
        <v>13.732434</v>
      </c>
      <c r="GR11" s="788">
        <f t="shared" si="80"/>
        <v>27774163.457898386</v>
      </c>
      <c r="GS11" s="716"/>
      <c r="GV11" s="718">
        <f t="shared" si="81"/>
        <v>8</v>
      </c>
      <c r="GW11" s="735">
        <v>8</v>
      </c>
      <c r="GX11" s="518" t="s">
        <v>415</v>
      </c>
      <c r="GY11" s="322" t="s">
        <v>397</v>
      </c>
      <c r="GZ11" s="924">
        <f t="shared" si="82"/>
        <v>3814068.5348451221</v>
      </c>
      <c r="HA11" s="788">
        <f t="shared" si="83"/>
        <v>27774163.457898386</v>
      </c>
      <c r="HB11" s="922">
        <f t="shared" si="109"/>
        <v>13.732434</v>
      </c>
      <c r="HC11" s="942">
        <f t="shared" si="85"/>
        <v>3814068.6659080135</v>
      </c>
      <c r="HD11" s="858">
        <v>7.107064500451088E-2</v>
      </c>
      <c r="HE11" s="54"/>
      <c r="HH11" s="54"/>
      <c r="HI11" s="54"/>
      <c r="HJ11" s="54"/>
      <c r="HK11" s="54"/>
      <c r="HL11" s="54"/>
      <c r="HM11" s="54"/>
      <c r="HN11" s="54"/>
      <c r="HQ11" s="734">
        <v>8</v>
      </c>
      <c r="HR11" s="869">
        <v>8</v>
      </c>
      <c r="HS11" s="518" t="s">
        <v>415</v>
      </c>
      <c r="HT11" s="788">
        <f t="shared" si="86"/>
        <v>27774163.457898386</v>
      </c>
      <c r="HU11" s="917">
        <f t="shared" si="87"/>
        <v>13.732434</v>
      </c>
      <c r="HV11" s="870"/>
      <c r="HW11" s="768"/>
      <c r="HX11" s="870">
        <v>-2.8347379999999998</v>
      </c>
      <c r="HY11" s="769">
        <v>25</v>
      </c>
      <c r="IP11" s="734">
        <v>8</v>
      </c>
      <c r="IQ11" s="869">
        <v>8</v>
      </c>
      <c r="IR11" s="518" t="s">
        <v>415</v>
      </c>
      <c r="IS11" s="913">
        <f t="shared" si="106"/>
        <v>3814068.6659080135</v>
      </c>
      <c r="IT11" s="915">
        <f t="shared" si="88"/>
        <v>27774163.457898386</v>
      </c>
      <c r="IU11" s="919">
        <f t="shared" si="89"/>
        <v>13.732434</v>
      </c>
      <c r="IV11" s="904">
        <f t="shared" si="110"/>
        <v>4060509.522742305</v>
      </c>
      <c r="IW11" s="904">
        <f t="shared" si="91"/>
        <v>23713653.935156081</v>
      </c>
      <c r="IX11" s="913">
        <f t="shared" si="111"/>
        <v>60907.64284113457</v>
      </c>
      <c r="IY11" s="882">
        <f t="shared" si="93"/>
        <v>3753161.0230668788</v>
      </c>
      <c r="IZ11" s="928">
        <f t="shared" si="112"/>
        <v>13.513137951953542</v>
      </c>
      <c r="JA11" s="928">
        <f t="shared" si="113"/>
        <v>15.013137951953542</v>
      </c>
      <c r="JB11" s="913">
        <f t="shared" si="107"/>
        <v>3814068.6659080135</v>
      </c>
      <c r="JC11" s="883">
        <v>0.22223335000653854</v>
      </c>
      <c r="JG11" s="734">
        <v>8</v>
      </c>
      <c r="JH11" s="869">
        <v>8</v>
      </c>
      <c r="JI11" s="518" t="s">
        <v>415</v>
      </c>
      <c r="JJ11" s="788">
        <f t="shared" si="96"/>
        <v>27774163.457898386</v>
      </c>
      <c r="JK11" s="917">
        <f t="shared" si="97"/>
        <v>13.513137951953542</v>
      </c>
      <c r="JL11" s="870">
        <v>16.465</v>
      </c>
      <c r="JM11" s="768"/>
      <c r="JN11" s="870"/>
      <c r="JO11" s="769">
        <v>25</v>
      </c>
      <c r="JT11" s="936">
        <v>7.8380709265402579</v>
      </c>
      <c r="JU11" s="936">
        <f t="shared" si="64"/>
        <v>9.380254132844712E-4</v>
      </c>
      <c r="JV11" s="13">
        <v>123957514</v>
      </c>
      <c r="JW11" s="13">
        <f t="shared" si="65"/>
        <v>-4945829.9840179682</v>
      </c>
    </row>
    <row r="12" spans="1:294" x14ac:dyDescent="0.3">
      <c r="B12" s="756">
        <v>9</v>
      </c>
      <c r="C12" s="764" t="s">
        <v>401</v>
      </c>
      <c r="D12" s="379">
        <v>-204693.58767693696</v>
      </c>
      <c r="E12" s="765">
        <v>-1.8210767238753768E-3</v>
      </c>
      <c r="F12" s="766">
        <v>-9.4206572898044259E-3</v>
      </c>
      <c r="J12" s="756">
        <v>9</v>
      </c>
      <c r="K12" s="757">
        <v>9</v>
      </c>
      <c r="L12" s="732" t="s">
        <v>416</v>
      </c>
      <c r="M12" s="904">
        <v>119011684.01598203</v>
      </c>
      <c r="N12" s="944">
        <f t="shared" si="66"/>
        <v>5.3996731922756558E-2</v>
      </c>
      <c r="O12" s="753">
        <v>872.65582457349649</v>
      </c>
      <c r="P12" s="948">
        <f t="shared" si="67"/>
        <v>136378.71961050399</v>
      </c>
      <c r="Q12" s="733">
        <f t="shared" si="68"/>
        <v>7.7238228628809649E-2</v>
      </c>
      <c r="R12" s="758" t="s">
        <v>397</v>
      </c>
      <c r="V12" s="730">
        <f t="shared" si="98"/>
        <v>9</v>
      </c>
      <c r="W12" s="731">
        <f t="shared" si="0"/>
        <v>9</v>
      </c>
      <c r="X12" s="732" t="s">
        <v>416</v>
      </c>
      <c r="Y12" s="924">
        <f t="shared" si="69"/>
        <v>7161002.6717137992</v>
      </c>
      <c r="Z12" s="944">
        <f t="shared" si="70"/>
        <v>8.5562319424327057E-2</v>
      </c>
      <c r="AD12" s="730">
        <v>9</v>
      </c>
      <c r="AE12" s="746">
        <v>9</v>
      </c>
      <c r="AF12" s="747" t="s">
        <v>416</v>
      </c>
      <c r="AG12" s="748">
        <v>5.86</v>
      </c>
      <c r="AQ12" s="730">
        <f t="shared" si="71"/>
        <v>9</v>
      </c>
      <c r="AR12" s="783">
        <f t="shared" si="1"/>
        <v>9</v>
      </c>
      <c r="AS12" s="732" t="s">
        <v>416</v>
      </c>
      <c r="AT12" s="732">
        <f t="shared" si="2"/>
        <v>5.86</v>
      </c>
      <c r="AU12" s="784">
        <f t="shared" si="72"/>
        <v>119011684.01598203</v>
      </c>
      <c r="AV12" s="784">
        <f t="shared" si="99"/>
        <v>193724.57453712632</v>
      </c>
      <c r="AW12" s="785">
        <f>AV12*$AM$5/$AV$28</f>
        <v>200497.42992801609</v>
      </c>
      <c r="AX12" s="786">
        <f t="shared" si="4"/>
        <v>18.336776074005567</v>
      </c>
      <c r="AY12" s="379">
        <f t="shared" si="108"/>
        <v>3676476.4760036529</v>
      </c>
      <c r="AZ12" s="51">
        <f t="shared" si="73"/>
        <v>0.10183080394534329</v>
      </c>
      <c r="BA12" s="53">
        <f t="shared" si="5"/>
        <v>3.0891730000000002</v>
      </c>
      <c r="BL12" s="756">
        <f t="shared" si="100"/>
        <v>9</v>
      </c>
      <c r="BM12" s="758">
        <f t="shared" si="6"/>
        <v>9</v>
      </c>
      <c r="BN12" s="732" t="s">
        <v>416</v>
      </c>
      <c r="BO12" s="733">
        <f t="shared" si="7"/>
        <v>0.10183080394534329</v>
      </c>
      <c r="BP12" s="379">
        <f t="shared" si="74"/>
        <v>799941.9546122828</v>
      </c>
      <c r="BQ12" s="733">
        <f t="shared" si="8"/>
        <v>5.3996731922756558E-2</v>
      </c>
      <c r="BR12" s="379">
        <f t="shared" si="75"/>
        <v>424176.66956797702</v>
      </c>
      <c r="BS12" s="807">
        <f t="shared" si="9"/>
        <v>1224118.6241802599</v>
      </c>
      <c r="BT12" s="808">
        <f t="shared" si="10"/>
        <v>1.02857</v>
      </c>
      <c r="BW12" s="1"/>
      <c r="BX12" s="10"/>
      <c r="BY12" s="10"/>
      <c r="BZ12" s="10"/>
      <c r="CA12" s="10"/>
      <c r="CB12" s="10"/>
      <c r="CC12" s="10"/>
      <c r="CD12" s="10"/>
      <c r="CE12" s="10"/>
      <c r="CI12" s="730">
        <f t="shared" si="101"/>
        <v>9</v>
      </c>
      <c r="CJ12" s="746">
        <f t="shared" si="12"/>
        <v>9</v>
      </c>
      <c r="CK12" s="732" t="s">
        <v>416</v>
      </c>
      <c r="CL12" s="733">
        <f t="shared" si="13"/>
        <v>5.3996731922756558E-2</v>
      </c>
      <c r="CM12" s="379">
        <f t="shared" si="14"/>
        <v>289111.46866048686</v>
      </c>
      <c r="CN12" s="733">
        <f t="shared" si="15"/>
        <v>7.7238228628809649E-2</v>
      </c>
      <c r="CO12" s="379">
        <f t="shared" si="16"/>
        <v>1344032.2978454111</v>
      </c>
      <c r="CP12" s="379">
        <f t="shared" si="17"/>
        <v>1633143.766505898</v>
      </c>
      <c r="CQ12" s="733">
        <f t="shared" si="18"/>
        <v>7.1769604526840669E-2</v>
      </c>
      <c r="CR12" s="808">
        <f t="shared" si="19"/>
        <v>1.372255</v>
      </c>
      <c r="DD12" s="5">
        <v>5.716652409656231E-2</v>
      </c>
      <c r="DE12" s="1"/>
      <c r="DH12" s="730">
        <v>9</v>
      </c>
      <c r="DI12" s="840">
        <f t="shared" si="20"/>
        <v>9</v>
      </c>
      <c r="DJ12" s="732" t="s">
        <v>416</v>
      </c>
      <c r="DK12" s="733">
        <f t="shared" si="21"/>
        <v>7.1769604526840669E-2</v>
      </c>
      <c r="DL12" s="379">
        <f t="shared" si="77"/>
        <v>22674.03150927808</v>
      </c>
      <c r="DM12" s="733">
        <f t="shared" si="22"/>
        <v>7.7238228628809649E-2</v>
      </c>
      <c r="DN12" s="379">
        <f t="shared" si="23"/>
        <v>151016.45714842808</v>
      </c>
      <c r="DO12" s="733">
        <f t="shared" si="24"/>
        <v>5.3996731922756558E-2</v>
      </c>
      <c r="DP12" s="379">
        <f t="shared" si="25"/>
        <v>175776.66652162338</v>
      </c>
      <c r="DQ12" s="379">
        <f t="shared" si="78"/>
        <v>349467.15517932957</v>
      </c>
      <c r="DR12" s="733">
        <f t="shared" si="26"/>
        <v>6.3235354637129149E-2</v>
      </c>
      <c r="DS12" s="808">
        <f t="shared" si="27"/>
        <v>0.29364099999999999</v>
      </c>
      <c r="DW12" s="730">
        <f t="shared" si="102"/>
        <v>9</v>
      </c>
      <c r="DX12" s="840">
        <f t="shared" si="28"/>
        <v>9</v>
      </c>
      <c r="DY12" s="732" t="s">
        <v>416</v>
      </c>
      <c r="DZ12" s="733">
        <f t="shared" si="29"/>
        <v>7.7238228628809649E-2</v>
      </c>
      <c r="EA12" s="379">
        <f t="shared" si="30"/>
        <v>277796.64984465926</v>
      </c>
      <c r="EB12" s="808">
        <f t="shared" si="31"/>
        <v>0.23341999999999999</v>
      </c>
      <c r="EN12" s="730">
        <f t="shared" si="103"/>
        <v>9</v>
      </c>
      <c r="EO12" s="840">
        <f t="shared" si="32"/>
        <v>9</v>
      </c>
      <c r="EP12" s="732" t="s">
        <v>416</v>
      </c>
      <c r="EQ12" s="733">
        <f t="shared" si="33"/>
        <v>8.5562319424327057E-2</v>
      </c>
      <c r="ER12" s="379">
        <f t="shared" si="34"/>
        <v>612424.19926682161</v>
      </c>
      <c r="ES12" s="733">
        <f t="shared" si="35"/>
        <v>7.1769604526840669E-2</v>
      </c>
      <c r="ET12" s="379">
        <f t="shared" si="36"/>
        <v>69261.064783500085</v>
      </c>
      <c r="EU12" s="733">
        <f t="shared" si="37"/>
        <v>5.3996731922756558E-2</v>
      </c>
      <c r="EV12" s="379">
        <f t="shared" si="38"/>
        <v>139609.56796051096</v>
      </c>
      <c r="EW12" s="379">
        <f t="shared" si="39"/>
        <v>821294.83201083262</v>
      </c>
      <c r="EX12" s="733">
        <f t="shared" si="40"/>
        <v>7.6697711215471087E-2</v>
      </c>
      <c r="EY12" s="808">
        <f t="shared" si="41"/>
        <v>0.69009600000000004</v>
      </c>
      <c r="FI12" s="730">
        <f t="shared" si="104"/>
        <v>9</v>
      </c>
      <c r="FJ12" s="731">
        <f t="shared" si="42"/>
        <v>9</v>
      </c>
      <c r="FK12" s="732" t="s">
        <v>416</v>
      </c>
      <c r="FL12" s="733">
        <f t="shared" si="43"/>
        <v>8.5562319424327057E-2</v>
      </c>
      <c r="FM12" s="379">
        <f t="shared" si="44"/>
        <v>1608026.4496703274</v>
      </c>
      <c r="FN12" s="808">
        <f t="shared" si="45"/>
        <v>1.3511500000000001</v>
      </c>
      <c r="FR12" s="730">
        <f t="shared" si="105"/>
        <v>9</v>
      </c>
      <c r="FS12" s="731">
        <v>9</v>
      </c>
      <c r="FT12" s="732" t="s">
        <v>416</v>
      </c>
      <c r="FU12" s="379">
        <f t="shared" si="46"/>
        <v>3676476.4760036529</v>
      </c>
      <c r="FV12" s="379">
        <f t="shared" si="47"/>
        <v>1224118.6241802599</v>
      </c>
      <c r="FW12" s="379">
        <f t="shared" si="48"/>
        <v>1633143.766505898</v>
      </c>
      <c r="FX12" s="379">
        <f t="shared" si="49"/>
        <v>349467.15517932957</v>
      </c>
      <c r="FY12" s="379">
        <f t="shared" si="50"/>
        <v>277796.64984465926</v>
      </c>
      <c r="FZ12" s="379">
        <f t="shared" si="51"/>
        <v>821294.83201083262</v>
      </c>
      <c r="GA12" s="379">
        <f t="shared" si="52"/>
        <v>1608026.4496703274</v>
      </c>
      <c r="GB12" s="379">
        <f t="shared" si="53"/>
        <v>9590323.9533949587</v>
      </c>
      <c r="GC12" s="852">
        <f t="shared" si="54"/>
        <v>8.0583050000000007</v>
      </c>
      <c r="GG12" s="730">
        <f t="shared" si="79"/>
        <v>9</v>
      </c>
      <c r="GH12" s="731">
        <f t="shared" si="55"/>
        <v>9</v>
      </c>
      <c r="GI12" s="732" t="s">
        <v>416</v>
      </c>
      <c r="GJ12" s="808">
        <f t="shared" si="56"/>
        <v>3.0891730000000002</v>
      </c>
      <c r="GK12" s="808">
        <f t="shared" si="57"/>
        <v>1.02857</v>
      </c>
      <c r="GL12" s="808">
        <f t="shared" si="58"/>
        <v>1.372255</v>
      </c>
      <c r="GM12" s="808">
        <f t="shared" si="59"/>
        <v>0.29364099999999999</v>
      </c>
      <c r="GN12" s="808">
        <f t="shared" si="60"/>
        <v>0.23341999999999999</v>
      </c>
      <c r="GO12" s="808">
        <f t="shared" si="61"/>
        <v>0.69009600000000004</v>
      </c>
      <c r="GP12" s="808">
        <f t="shared" si="62"/>
        <v>1.3511500000000001</v>
      </c>
      <c r="GQ12" s="808">
        <f t="shared" si="63"/>
        <v>8.0583050000000007</v>
      </c>
      <c r="GR12" s="784">
        <f t="shared" si="80"/>
        <v>119011684.01598203</v>
      </c>
      <c r="GS12" s="716"/>
      <c r="GV12" s="717">
        <f t="shared" si="81"/>
        <v>9</v>
      </c>
      <c r="GW12" s="731">
        <v>9</v>
      </c>
      <c r="GX12" s="732" t="s">
        <v>416</v>
      </c>
      <c r="GY12" s="758" t="s">
        <v>397</v>
      </c>
      <c r="GZ12" s="906">
        <f t="shared" si="82"/>
        <v>9590323.9533949587</v>
      </c>
      <c r="HA12" s="784">
        <f t="shared" si="83"/>
        <v>119011684.01598203</v>
      </c>
      <c r="HB12" s="922">
        <f t="shared" si="109"/>
        <v>8.0583050000000007</v>
      </c>
      <c r="HC12" s="942">
        <f t="shared" si="85"/>
        <v>9590324.4836440813</v>
      </c>
      <c r="HD12" s="857">
        <v>-0.42028257809579372</v>
      </c>
      <c r="HE12" s="54"/>
      <c r="HH12" s="54"/>
      <c r="HI12" s="54"/>
      <c r="HJ12" s="54"/>
      <c r="HK12" s="54"/>
      <c r="HL12" s="54"/>
      <c r="HM12" s="54"/>
      <c r="HN12" s="54"/>
      <c r="HQ12" s="730">
        <v>9</v>
      </c>
      <c r="HR12" s="867">
        <v>9</v>
      </c>
      <c r="HS12" s="732" t="s">
        <v>416</v>
      </c>
      <c r="HT12" s="784">
        <f t="shared" si="86"/>
        <v>119011684.01598203</v>
      </c>
      <c r="HU12" s="917">
        <f t="shared" si="87"/>
        <v>8.0583050000000007</v>
      </c>
      <c r="HV12" s="868"/>
      <c r="HW12" s="765"/>
      <c r="HX12" s="868">
        <v>-1.9628369999999986</v>
      </c>
      <c r="HY12" s="766">
        <v>10</v>
      </c>
      <c r="IP12" s="730">
        <v>9</v>
      </c>
      <c r="IQ12" s="867">
        <v>9</v>
      </c>
      <c r="IR12" s="732" t="s">
        <v>416</v>
      </c>
      <c r="IS12" s="913">
        <f t="shared" si="106"/>
        <v>9590324.4836440813</v>
      </c>
      <c r="IT12" s="915">
        <f t="shared" si="88"/>
        <v>119011684.01598203</v>
      </c>
      <c r="IU12" s="918">
        <f t="shared" si="89"/>
        <v>8.0583050000000007</v>
      </c>
      <c r="IV12" s="904">
        <f t="shared" si="110"/>
        <v>17399194.650705766</v>
      </c>
      <c r="IW12" s="904">
        <f t="shared" si="91"/>
        <v>101612489.36527626</v>
      </c>
      <c r="IX12" s="913">
        <f t="shared" si="111"/>
        <v>260987.91976058649</v>
      </c>
      <c r="IY12" s="881">
        <f t="shared" si="93"/>
        <v>9329336.5638834946</v>
      </c>
      <c r="IZ12" s="928">
        <f t="shared" si="112"/>
        <v>7.8390089519535424</v>
      </c>
      <c r="JA12" s="928">
        <f t="shared" si="113"/>
        <v>9.3390089519535415</v>
      </c>
      <c r="JB12" s="913">
        <f t="shared" si="107"/>
        <v>9590324.4836440813</v>
      </c>
      <c r="JC12" s="852">
        <v>0.22223273298532753</v>
      </c>
      <c r="JG12" s="730">
        <v>9</v>
      </c>
      <c r="JH12" s="867">
        <v>9</v>
      </c>
      <c r="JI12" s="732" t="s">
        <v>416</v>
      </c>
      <c r="JJ12" s="784">
        <f t="shared" si="96"/>
        <v>119011684.01598203</v>
      </c>
      <c r="JK12" s="917">
        <f t="shared" si="97"/>
        <v>7.8390089519535424</v>
      </c>
      <c r="JL12" s="868">
        <v>9.8640000000000008</v>
      </c>
      <c r="JM12" s="765"/>
      <c r="JN12" s="868"/>
      <c r="JO12" s="766">
        <v>10</v>
      </c>
      <c r="JT12" s="936">
        <v>15.840565926540259</v>
      </c>
      <c r="JU12" s="936">
        <f t="shared" si="64"/>
        <v>1.5890254132830961E-3</v>
      </c>
      <c r="JV12" s="13">
        <v>5199119</v>
      </c>
      <c r="JW12" s="13">
        <f t="shared" si="65"/>
        <v>226550.15911638457</v>
      </c>
    </row>
    <row r="13" spans="1:294" x14ac:dyDescent="0.3">
      <c r="B13" s="771">
        <v>10</v>
      </c>
      <c r="C13" s="772" t="s">
        <v>299</v>
      </c>
      <c r="D13" s="907">
        <f>'DCA 8 month Phase I'!MZ25</f>
        <v>113193456.58642493</v>
      </c>
      <c r="E13" s="773">
        <v>1</v>
      </c>
      <c r="F13" s="774">
        <v>5.1731248696411978</v>
      </c>
      <c r="J13" s="338">
        <v>10</v>
      </c>
      <c r="K13" s="759">
        <v>10</v>
      </c>
      <c r="L13" s="518" t="s">
        <v>417</v>
      </c>
      <c r="M13" s="904">
        <v>5425669.1591163846</v>
      </c>
      <c r="N13" s="943">
        <f t="shared" si="66"/>
        <v>2.4616776538262646E-3</v>
      </c>
      <c r="O13" s="455">
        <v>354.12272108843536</v>
      </c>
      <c r="P13" s="948">
        <f t="shared" si="67"/>
        <v>15321.437558256614</v>
      </c>
      <c r="Q13" s="659">
        <f t="shared" si="68"/>
        <v>8.677311976725062E-3</v>
      </c>
      <c r="R13" s="322" t="s">
        <v>397</v>
      </c>
      <c r="V13" s="734">
        <f t="shared" si="98"/>
        <v>10</v>
      </c>
      <c r="W13" s="735">
        <f t="shared" si="0"/>
        <v>10</v>
      </c>
      <c r="X13" s="518" t="s">
        <v>417</v>
      </c>
      <c r="Y13" s="924">
        <f t="shared" si="69"/>
        <v>655011.06950048776</v>
      </c>
      <c r="Z13" s="943">
        <f t="shared" si="70"/>
        <v>7.8263155209322231E-3</v>
      </c>
      <c r="AD13" s="734">
        <v>10</v>
      </c>
      <c r="AE13" s="146">
        <v>10</v>
      </c>
      <c r="AF13" s="347" t="s">
        <v>417</v>
      </c>
      <c r="AG13" s="369">
        <v>11.86</v>
      </c>
      <c r="AQ13" s="734">
        <f t="shared" si="71"/>
        <v>10</v>
      </c>
      <c r="AR13" s="787">
        <f t="shared" si="1"/>
        <v>10</v>
      </c>
      <c r="AS13" s="518" t="s">
        <v>417</v>
      </c>
      <c r="AT13" s="518">
        <f t="shared" si="2"/>
        <v>11.86</v>
      </c>
      <c r="AU13" s="788">
        <f t="shared" si="72"/>
        <v>5425669.1591163846</v>
      </c>
      <c r="AV13" s="788">
        <f t="shared" si="99"/>
        <v>17874.565618644534</v>
      </c>
      <c r="AW13" s="789">
        <f t="shared" si="3"/>
        <v>18499.482970505069</v>
      </c>
      <c r="AX13" s="790">
        <f t="shared" si="4"/>
        <v>18.336776074005567</v>
      </c>
      <c r="AY13" s="358">
        <f t="shared" si="108"/>
        <v>339220.87671503075</v>
      </c>
      <c r="AZ13" s="35">
        <f t="shared" si="73"/>
        <v>9.3957175617465968E-3</v>
      </c>
      <c r="BA13" s="55">
        <f t="shared" si="5"/>
        <v>6.252148</v>
      </c>
      <c r="BL13" s="338">
        <f t="shared" si="100"/>
        <v>10</v>
      </c>
      <c r="BM13" s="322">
        <f t="shared" si="6"/>
        <v>10</v>
      </c>
      <c r="BN13" s="518" t="s">
        <v>417</v>
      </c>
      <c r="BO13" s="659">
        <f t="shared" si="7"/>
        <v>9.3957175617465968E-3</v>
      </c>
      <c r="BP13" s="358">
        <f t="shared" si="74"/>
        <v>73808.988833699885</v>
      </c>
      <c r="BQ13" s="659">
        <f t="shared" si="8"/>
        <v>2.4616776538262646E-3</v>
      </c>
      <c r="BR13" s="358">
        <f t="shared" si="75"/>
        <v>19337.952345776524</v>
      </c>
      <c r="BS13" s="809">
        <f t="shared" si="9"/>
        <v>93146.941179476416</v>
      </c>
      <c r="BT13" s="810">
        <f t="shared" si="10"/>
        <v>1.7167829999999999</v>
      </c>
      <c r="BW13" s="1"/>
      <c r="BX13" s="10"/>
      <c r="BY13" s="10"/>
      <c r="BZ13" s="10"/>
      <c r="CA13" s="10"/>
      <c r="CB13" s="10"/>
      <c r="CC13" s="10"/>
      <c r="CD13" s="10"/>
      <c r="CE13" s="10"/>
      <c r="CI13" s="734">
        <f t="shared" si="101"/>
        <v>10</v>
      </c>
      <c r="CJ13" s="146">
        <f t="shared" si="12"/>
        <v>10</v>
      </c>
      <c r="CK13" s="518" t="s">
        <v>417</v>
      </c>
      <c r="CL13" s="344">
        <f t="shared" si="13"/>
        <v>2.4616776538262646E-3</v>
      </c>
      <c r="CM13" s="20">
        <f t="shared" si="14"/>
        <v>13180.413268056916</v>
      </c>
      <c r="CN13" s="344">
        <f t="shared" si="15"/>
        <v>8.677311976725062E-3</v>
      </c>
      <c r="CO13" s="20">
        <f t="shared" si="16"/>
        <v>150995.01583920553</v>
      </c>
      <c r="CP13" s="20">
        <f t="shared" si="17"/>
        <v>164175.42910726246</v>
      </c>
      <c r="CQ13" s="344">
        <f t="shared" si="18"/>
        <v>7.2147999837527095E-3</v>
      </c>
      <c r="CR13" s="342">
        <f t="shared" si="19"/>
        <v>3.0259019999999999</v>
      </c>
      <c r="DD13" s="5">
        <v>0.23525345484183899</v>
      </c>
      <c r="DE13" s="1"/>
      <c r="DH13" s="734">
        <v>10</v>
      </c>
      <c r="DI13" s="745">
        <f t="shared" si="20"/>
        <v>10</v>
      </c>
      <c r="DJ13" s="518" t="s">
        <v>417</v>
      </c>
      <c r="DK13" s="344">
        <f t="shared" si="21"/>
        <v>7.2147999837527095E-3</v>
      </c>
      <c r="DL13" s="20">
        <f t="shared" si="77"/>
        <v>2279.357720350381</v>
      </c>
      <c r="DM13" s="344">
        <f t="shared" si="22"/>
        <v>8.677311976725062E-3</v>
      </c>
      <c r="DN13" s="20">
        <f t="shared" si="23"/>
        <v>16965.910994596012</v>
      </c>
      <c r="DO13" s="344">
        <f t="shared" si="24"/>
        <v>2.4616776538262646E-3</v>
      </c>
      <c r="DP13" s="20">
        <f t="shared" si="25"/>
        <v>8013.5496470294847</v>
      </c>
      <c r="DQ13" s="20">
        <f t="shared" si="78"/>
        <v>27258.818361975878</v>
      </c>
      <c r="DR13" s="344">
        <f t="shared" si="26"/>
        <v>4.9324264685878779E-3</v>
      </c>
      <c r="DS13" s="342">
        <f t="shared" si="27"/>
        <v>0.50240499999999999</v>
      </c>
      <c r="DW13" s="734">
        <f t="shared" si="102"/>
        <v>10</v>
      </c>
      <c r="DX13" s="745">
        <f t="shared" si="28"/>
        <v>10</v>
      </c>
      <c r="DY13" s="518" t="s">
        <v>417</v>
      </c>
      <c r="DZ13" s="344">
        <f t="shared" si="29"/>
        <v>8.677311976725062E-3</v>
      </c>
      <c r="EA13" s="20">
        <f t="shared" si="30"/>
        <v>31209.004136742202</v>
      </c>
      <c r="EB13" s="342">
        <f t="shared" si="31"/>
        <v>0.57521</v>
      </c>
      <c r="EN13" s="734">
        <f t="shared" si="103"/>
        <v>10</v>
      </c>
      <c r="EO13" s="745">
        <f t="shared" si="32"/>
        <v>10</v>
      </c>
      <c r="EP13" s="518" t="s">
        <v>417</v>
      </c>
      <c r="EQ13" s="344">
        <f t="shared" si="33"/>
        <v>7.8263155209322231E-3</v>
      </c>
      <c r="ER13" s="20">
        <f t="shared" si="34"/>
        <v>56017.941640250378</v>
      </c>
      <c r="ES13" s="344">
        <f t="shared" si="35"/>
        <v>7.2147999837527095E-3</v>
      </c>
      <c r="ET13" s="20">
        <f t="shared" si="36"/>
        <v>6962.623416544121</v>
      </c>
      <c r="EU13" s="344">
        <f t="shared" si="37"/>
        <v>2.4616776538262646E-3</v>
      </c>
      <c r="EV13" s="20">
        <f t="shared" si="38"/>
        <v>6364.7139645481038</v>
      </c>
      <c r="EW13" s="20">
        <f t="shared" si="39"/>
        <v>69345.279021342605</v>
      </c>
      <c r="EX13" s="344">
        <f t="shared" si="40"/>
        <v>6.4759011955709579E-3</v>
      </c>
      <c r="EY13" s="342">
        <f t="shared" si="41"/>
        <v>1.2780959999999999</v>
      </c>
      <c r="FI13" s="734">
        <f t="shared" si="104"/>
        <v>10</v>
      </c>
      <c r="FJ13" s="735">
        <f t="shared" si="42"/>
        <v>10</v>
      </c>
      <c r="FK13" s="518" t="s">
        <v>417</v>
      </c>
      <c r="FL13" s="344">
        <f t="shared" si="43"/>
        <v>7.8263155209322231E-3</v>
      </c>
      <c r="FM13" s="20">
        <f t="shared" si="44"/>
        <v>147084.86686425985</v>
      </c>
      <c r="FN13" s="342">
        <f t="shared" si="45"/>
        <v>2.7109070000000002</v>
      </c>
      <c r="FR13" s="734">
        <f t="shared" si="105"/>
        <v>10</v>
      </c>
      <c r="FS13" s="735">
        <v>10</v>
      </c>
      <c r="FT13" s="518" t="s">
        <v>417</v>
      </c>
      <c r="FU13" s="20">
        <f t="shared" si="46"/>
        <v>339220.87671503075</v>
      </c>
      <c r="FV13" s="20">
        <f t="shared" si="47"/>
        <v>93146.941179476416</v>
      </c>
      <c r="FW13" s="20">
        <f t="shared" si="48"/>
        <v>164175.42910726246</v>
      </c>
      <c r="FX13" s="20">
        <f t="shared" si="49"/>
        <v>27258.818361975878</v>
      </c>
      <c r="FY13" s="20">
        <f t="shared" si="50"/>
        <v>31209.004136742202</v>
      </c>
      <c r="FZ13" s="20">
        <f t="shared" si="51"/>
        <v>69345.279021342605</v>
      </c>
      <c r="GA13" s="20">
        <f t="shared" si="52"/>
        <v>147084.86686425985</v>
      </c>
      <c r="GB13" s="20">
        <f t="shared" si="53"/>
        <v>871441.21538609022</v>
      </c>
      <c r="GC13" s="414">
        <f t="shared" si="54"/>
        <v>16.061451000000002</v>
      </c>
      <c r="GG13" s="734">
        <f t="shared" si="79"/>
        <v>10</v>
      </c>
      <c r="GH13" s="735">
        <f t="shared" si="55"/>
        <v>10</v>
      </c>
      <c r="GI13" s="518" t="s">
        <v>417</v>
      </c>
      <c r="GJ13" s="342">
        <f t="shared" si="56"/>
        <v>6.252148</v>
      </c>
      <c r="GK13" s="342">
        <f t="shared" si="57"/>
        <v>1.7167829999999999</v>
      </c>
      <c r="GL13" s="342">
        <f t="shared" si="58"/>
        <v>3.0259019999999999</v>
      </c>
      <c r="GM13" s="342">
        <f t="shared" si="59"/>
        <v>0.50240499999999999</v>
      </c>
      <c r="GN13" s="342">
        <f t="shared" si="60"/>
        <v>0.57521</v>
      </c>
      <c r="GO13" s="342">
        <f t="shared" si="61"/>
        <v>1.2780959999999999</v>
      </c>
      <c r="GP13" s="342">
        <f t="shared" si="62"/>
        <v>2.7109070000000002</v>
      </c>
      <c r="GQ13" s="342">
        <f t="shared" si="63"/>
        <v>16.061451000000002</v>
      </c>
      <c r="GR13" s="788">
        <f t="shared" si="80"/>
        <v>5425669.1591163846</v>
      </c>
      <c r="GS13" s="716"/>
      <c r="GV13" s="718">
        <f t="shared" si="81"/>
        <v>10</v>
      </c>
      <c r="GW13" s="735">
        <v>10</v>
      </c>
      <c r="GX13" s="518" t="s">
        <v>417</v>
      </c>
      <c r="GY13" s="322" t="s">
        <v>397</v>
      </c>
      <c r="GZ13" s="924">
        <f t="shared" si="82"/>
        <v>871441.21538609022</v>
      </c>
      <c r="HA13" s="788">
        <f t="shared" si="83"/>
        <v>5425669.1591163846</v>
      </c>
      <c r="HB13" s="922">
        <f t="shared" si="109"/>
        <v>16.061451000000002</v>
      </c>
      <c r="HC13" s="942">
        <f t="shared" si="85"/>
        <v>871441.1934135902</v>
      </c>
      <c r="HD13" s="858">
        <v>2.150618308223784E-2</v>
      </c>
      <c r="HE13" s="54"/>
      <c r="HH13" s="54"/>
      <c r="HI13" s="54"/>
      <c r="HJ13" s="54"/>
      <c r="HK13" s="54"/>
      <c r="HL13" s="54"/>
      <c r="HM13" s="54"/>
      <c r="HN13" s="54"/>
      <c r="HQ13" s="734">
        <v>10</v>
      </c>
      <c r="HR13" s="869">
        <v>10</v>
      </c>
      <c r="HS13" s="518" t="s">
        <v>417</v>
      </c>
      <c r="HT13" s="788">
        <f t="shared" si="86"/>
        <v>5425669.1591163846</v>
      </c>
      <c r="HU13" s="917">
        <f t="shared" si="87"/>
        <v>16.061451000000002</v>
      </c>
      <c r="HV13" s="870"/>
      <c r="HW13" s="768"/>
      <c r="HX13" s="870">
        <v>-3.6744649999999979</v>
      </c>
      <c r="HY13" s="769">
        <v>25</v>
      </c>
      <c r="IP13" s="734">
        <v>10</v>
      </c>
      <c r="IQ13" s="869">
        <v>10</v>
      </c>
      <c r="IR13" s="518" t="s">
        <v>417</v>
      </c>
      <c r="IS13" s="913">
        <f t="shared" si="106"/>
        <v>871441.1934135902</v>
      </c>
      <c r="IT13" s="915">
        <f t="shared" si="88"/>
        <v>5425669.1591163846</v>
      </c>
      <c r="IU13" s="919">
        <f t="shared" si="89"/>
        <v>16.061451000000002</v>
      </c>
      <c r="IV13" s="904">
        <f t="shared" si="110"/>
        <v>793218.53640118078</v>
      </c>
      <c r="IW13" s="904">
        <f t="shared" si="91"/>
        <v>4632450.622715204</v>
      </c>
      <c r="IX13" s="913">
        <f t="shared" si="111"/>
        <v>11898.278046017711</v>
      </c>
      <c r="IY13" s="882">
        <f t="shared" si="93"/>
        <v>859542.91536757245</v>
      </c>
      <c r="IZ13" s="928">
        <f t="shared" si="112"/>
        <v>15.842154951953543</v>
      </c>
      <c r="JA13" s="928">
        <f t="shared" si="113"/>
        <v>17.342154951953543</v>
      </c>
      <c r="JB13" s="913">
        <f t="shared" si="107"/>
        <v>871441.1934135902</v>
      </c>
      <c r="JC13" s="883">
        <v>0.22223348250775032</v>
      </c>
      <c r="JG13" s="734">
        <v>10</v>
      </c>
      <c r="JH13" s="869">
        <v>10</v>
      </c>
      <c r="JI13" s="518" t="s">
        <v>417</v>
      </c>
      <c r="JJ13" s="788">
        <f t="shared" si="96"/>
        <v>5425669.1591163846</v>
      </c>
      <c r="JK13" s="917">
        <f t="shared" si="97"/>
        <v>15.842154951953543</v>
      </c>
      <c r="JL13" s="870">
        <v>19.646999999999998</v>
      </c>
      <c r="JM13" s="768"/>
      <c r="JN13" s="870"/>
      <c r="JO13" s="769">
        <v>25</v>
      </c>
      <c r="JT13" s="936">
        <v>15.999447926540256</v>
      </c>
      <c r="JU13" s="936">
        <f t="shared" si="64"/>
        <v>-9.9297458671543382E-4</v>
      </c>
      <c r="JV13" s="13">
        <v>53040850</v>
      </c>
      <c r="JW13" s="13">
        <f t="shared" si="65"/>
        <v>-449764.51005866379</v>
      </c>
    </row>
    <row r="14" spans="1:294" x14ac:dyDescent="0.3">
      <c r="D14" s="13"/>
      <c r="F14" s="696"/>
      <c r="J14" s="756">
        <v>11</v>
      </c>
      <c r="K14" s="757">
        <v>11</v>
      </c>
      <c r="L14" s="732" t="s">
        <v>418</v>
      </c>
      <c r="M14" s="904">
        <v>52591085.489941336</v>
      </c>
      <c r="N14" s="944">
        <f t="shared" si="66"/>
        <v>2.3861075223049411E-2</v>
      </c>
      <c r="O14" s="753">
        <v>247.62580071362774</v>
      </c>
      <c r="P14" s="948">
        <f t="shared" si="67"/>
        <v>212381.28393075423</v>
      </c>
      <c r="Q14" s="733">
        <f t="shared" si="68"/>
        <v>0.12028235938549087</v>
      </c>
      <c r="R14" s="758" t="s">
        <v>397</v>
      </c>
      <c r="V14" s="730">
        <f t="shared" si="98"/>
        <v>11</v>
      </c>
      <c r="W14" s="731">
        <f t="shared" si="0"/>
        <v>11</v>
      </c>
      <c r="X14" s="732" t="s">
        <v>418</v>
      </c>
      <c r="Y14" s="924">
        <f t="shared" si="69"/>
        <v>6391398.7391793756</v>
      </c>
      <c r="Z14" s="944">
        <f t="shared" si="70"/>
        <v>7.6366805817575489E-2</v>
      </c>
      <c r="AD14" s="730">
        <v>11</v>
      </c>
      <c r="AE14" s="746">
        <v>11</v>
      </c>
      <c r="AF14" s="747" t="s">
        <v>418</v>
      </c>
      <c r="AG14" s="748">
        <v>9.5</v>
      </c>
      <c r="AQ14" s="730">
        <f t="shared" si="71"/>
        <v>11</v>
      </c>
      <c r="AR14" s="783">
        <f t="shared" si="1"/>
        <v>11</v>
      </c>
      <c r="AS14" s="732" t="s">
        <v>418</v>
      </c>
      <c r="AT14" s="732">
        <f t="shared" si="2"/>
        <v>9.5</v>
      </c>
      <c r="AU14" s="784">
        <f t="shared" si="72"/>
        <v>52591085.489941336</v>
      </c>
      <c r="AV14" s="784">
        <f>AU14*AT14/3600</f>
        <v>138782.03115401184</v>
      </c>
      <c r="AW14" s="785">
        <f>AV14*$AM$5/$AV$28</f>
        <v>143634.02595181146</v>
      </c>
      <c r="AX14" s="786">
        <f t="shared" si="4"/>
        <v>18.336776074005567</v>
      </c>
      <c r="AY14" s="379">
        <f t="shared" si="108"/>
        <v>2633784.9704862712</v>
      </c>
      <c r="AZ14" s="51">
        <f t="shared" si="73"/>
        <v>7.2950403114047491E-2</v>
      </c>
      <c r="BA14" s="53">
        <f t="shared" si="5"/>
        <v>5.0080450000000001</v>
      </c>
      <c r="BL14" s="756">
        <f t="shared" si="100"/>
        <v>11</v>
      </c>
      <c r="BM14" s="758">
        <f t="shared" si="6"/>
        <v>11</v>
      </c>
      <c r="BN14" s="732" t="s">
        <v>418</v>
      </c>
      <c r="BO14" s="733">
        <f t="shared" si="7"/>
        <v>7.2950403114047491E-2</v>
      </c>
      <c r="BP14" s="379">
        <f t="shared" si="74"/>
        <v>573069.10871613258</v>
      </c>
      <c r="BQ14" s="733">
        <f t="shared" si="8"/>
        <v>2.3861075223049411E-2</v>
      </c>
      <c r="BR14" s="379">
        <f t="shared" si="75"/>
        <v>187443.03701384779</v>
      </c>
      <c r="BS14" s="807">
        <f t="shared" si="9"/>
        <v>760512.14572998043</v>
      </c>
      <c r="BT14" s="808">
        <f t="shared" si="10"/>
        <v>1.446086</v>
      </c>
      <c r="BW14" s="1"/>
      <c r="BX14" s="10"/>
      <c r="BY14" s="10"/>
      <c r="BZ14" s="10"/>
      <c r="CA14" s="10"/>
      <c r="CB14" s="10"/>
      <c r="CC14" s="10"/>
      <c r="CD14" s="10"/>
      <c r="CE14" s="10"/>
      <c r="CI14" s="730">
        <f t="shared" si="101"/>
        <v>11</v>
      </c>
      <c r="CJ14" s="746">
        <f t="shared" si="12"/>
        <v>11</v>
      </c>
      <c r="CK14" s="732" t="s">
        <v>418</v>
      </c>
      <c r="CL14" s="733">
        <f t="shared" si="13"/>
        <v>2.3861075223049411E-2</v>
      </c>
      <c r="CM14" s="379">
        <f t="shared" si="14"/>
        <v>127757.92637640797</v>
      </c>
      <c r="CN14" s="733">
        <f t="shared" si="15"/>
        <v>0.12028235938549087</v>
      </c>
      <c r="CO14" s="379">
        <f t="shared" si="16"/>
        <v>2093048.723994802</v>
      </c>
      <c r="CP14" s="379">
        <f t="shared" si="17"/>
        <v>2220806.6503712097</v>
      </c>
      <c r="CQ14" s="733">
        <f t="shared" si="18"/>
        <v>9.759484639170854E-2</v>
      </c>
      <c r="CR14" s="808">
        <f t="shared" si="19"/>
        <v>4.2227819999999996</v>
      </c>
      <c r="DE14" s="1"/>
      <c r="DH14" s="730">
        <v>11</v>
      </c>
      <c r="DI14" s="840">
        <f t="shared" si="20"/>
        <v>11</v>
      </c>
      <c r="DJ14" s="732" t="s">
        <v>418</v>
      </c>
      <c r="DK14" s="733">
        <f t="shared" si="21"/>
        <v>9.759484639170854E-2</v>
      </c>
      <c r="DL14" s="379">
        <f t="shared" si="77"/>
        <v>30832.949921037627</v>
      </c>
      <c r="DM14" s="733">
        <f t="shared" si="22"/>
        <v>0.12028235938549087</v>
      </c>
      <c r="DN14" s="379">
        <f t="shared" si="23"/>
        <v>235176.49348415344</v>
      </c>
      <c r="DO14" s="733">
        <f t="shared" si="24"/>
        <v>2.3861075223049411E-2</v>
      </c>
      <c r="DP14" s="379">
        <f t="shared" si="25"/>
        <v>77675.446512749055</v>
      </c>
      <c r="DQ14" s="379">
        <f t="shared" si="78"/>
        <v>343684.88991794013</v>
      </c>
      <c r="DR14" s="733">
        <f t="shared" si="26"/>
        <v>6.2189065768516349E-2</v>
      </c>
      <c r="DS14" s="808">
        <f t="shared" si="27"/>
        <v>0.65350399999999997</v>
      </c>
      <c r="DW14" s="730">
        <f t="shared" si="102"/>
        <v>11</v>
      </c>
      <c r="DX14" s="840">
        <f t="shared" si="28"/>
        <v>11</v>
      </c>
      <c r="DY14" s="732" t="s">
        <v>418</v>
      </c>
      <c r="DZ14" s="733">
        <f t="shared" si="29"/>
        <v>0.12028235938549087</v>
      </c>
      <c r="EA14" s="379">
        <f t="shared" si="30"/>
        <v>432610.08267397434</v>
      </c>
      <c r="EB14" s="808">
        <f t="shared" si="31"/>
        <v>0.82259199999999999</v>
      </c>
      <c r="EN14" s="730">
        <f t="shared" si="103"/>
        <v>11</v>
      </c>
      <c r="EO14" s="840">
        <f t="shared" si="32"/>
        <v>11</v>
      </c>
      <c r="EP14" s="732" t="s">
        <v>418</v>
      </c>
      <c r="EQ14" s="733">
        <f t="shared" si="33"/>
        <v>7.6366805817575489E-2</v>
      </c>
      <c r="ER14" s="379">
        <f t="shared" si="34"/>
        <v>546606.03193157713</v>
      </c>
      <c r="ES14" s="733">
        <f t="shared" si="35"/>
        <v>9.759484639170854E-2</v>
      </c>
      <c r="ET14" s="379">
        <f t="shared" si="36"/>
        <v>94183.645333365508</v>
      </c>
      <c r="EU14" s="733">
        <f t="shared" si="37"/>
        <v>2.3861075223049411E-2</v>
      </c>
      <c r="EV14" s="379">
        <f t="shared" si="38"/>
        <v>61693.259653724606</v>
      </c>
      <c r="EW14" s="379">
        <f t="shared" si="39"/>
        <v>702482.93691866728</v>
      </c>
      <c r="EX14" s="733">
        <f t="shared" si="40"/>
        <v>6.5602304226934777E-2</v>
      </c>
      <c r="EY14" s="808">
        <f t="shared" si="41"/>
        <v>1.335745</v>
      </c>
      <c r="FI14" s="730">
        <f t="shared" si="104"/>
        <v>11</v>
      </c>
      <c r="FJ14" s="731">
        <f t="shared" si="42"/>
        <v>11</v>
      </c>
      <c r="FK14" s="732" t="s">
        <v>418</v>
      </c>
      <c r="FL14" s="733">
        <f t="shared" si="43"/>
        <v>7.6366805817575489E-2</v>
      </c>
      <c r="FM14" s="379">
        <f t="shared" si="44"/>
        <v>1435209.3825612771</v>
      </c>
      <c r="FN14" s="808">
        <f t="shared" si="45"/>
        <v>2.7289970000000001</v>
      </c>
      <c r="FR14" s="730">
        <f t="shared" si="105"/>
        <v>11</v>
      </c>
      <c r="FS14" s="731">
        <v>11</v>
      </c>
      <c r="FT14" s="732" t="s">
        <v>418</v>
      </c>
      <c r="FU14" s="379">
        <f t="shared" si="46"/>
        <v>2633784.9704862712</v>
      </c>
      <c r="FV14" s="379">
        <f t="shared" si="47"/>
        <v>760512.14572998043</v>
      </c>
      <c r="FW14" s="379">
        <f t="shared" si="48"/>
        <v>2220806.6503712097</v>
      </c>
      <c r="FX14" s="379">
        <f t="shared" si="49"/>
        <v>343684.88991794013</v>
      </c>
      <c r="FY14" s="379">
        <f t="shared" si="50"/>
        <v>432610.08267397434</v>
      </c>
      <c r="FZ14" s="379">
        <f t="shared" si="51"/>
        <v>702482.93691866728</v>
      </c>
      <c r="GA14" s="379">
        <f t="shared" si="52"/>
        <v>1435209.3825612771</v>
      </c>
      <c r="GB14" s="379">
        <f t="shared" si="53"/>
        <v>8529091.0586593207</v>
      </c>
      <c r="GC14" s="852">
        <f t="shared" si="54"/>
        <v>16.217751</v>
      </c>
      <c r="GG14" s="730">
        <f t="shared" si="79"/>
        <v>11</v>
      </c>
      <c r="GH14" s="731">
        <f t="shared" si="55"/>
        <v>11</v>
      </c>
      <c r="GI14" s="732" t="s">
        <v>418</v>
      </c>
      <c r="GJ14" s="808">
        <f t="shared" si="56"/>
        <v>5.0080450000000001</v>
      </c>
      <c r="GK14" s="808">
        <f t="shared" si="57"/>
        <v>1.446086</v>
      </c>
      <c r="GL14" s="808">
        <f t="shared" si="58"/>
        <v>4.2227819999999996</v>
      </c>
      <c r="GM14" s="808">
        <f t="shared" si="59"/>
        <v>0.65350399999999997</v>
      </c>
      <c r="GN14" s="808">
        <f t="shared" si="60"/>
        <v>0.82259199999999999</v>
      </c>
      <c r="GO14" s="808">
        <f t="shared" si="61"/>
        <v>1.335745</v>
      </c>
      <c r="GP14" s="808">
        <f t="shared" si="62"/>
        <v>2.7289970000000001</v>
      </c>
      <c r="GQ14" s="808">
        <f t="shared" si="63"/>
        <v>16.217751</v>
      </c>
      <c r="GR14" s="784">
        <f t="shared" si="80"/>
        <v>52591085.489941336</v>
      </c>
      <c r="GS14" s="716"/>
      <c r="GV14" s="717">
        <f t="shared" si="81"/>
        <v>11</v>
      </c>
      <c r="GW14" s="731">
        <v>11</v>
      </c>
      <c r="GX14" s="732" t="s">
        <v>418</v>
      </c>
      <c r="GY14" s="758" t="s">
        <v>397</v>
      </c>
      <c r="GZ14" s="906">
        <f t="shared" si="82"/>
        <v>8529091.0586593207</v>
      </c>
      <c r="HA14" s="784">
        <f t="shared" si="83"/>
        <v>52591085.489941336</v>
      </c>
      <c r="HB14" s="922">
        <f t="shared" si="109"/>
        <v>16.217751</v>
      </c>
      <c r="HC14" s="942">
        <f t="shared" si="85"/>
        <v>8529091.2929558158</v>
      </c>
      <c r="HD14" s="857">
        <v>0.22434761747717857</v>
      </c>
      <c r="HE14" s="54"/>
      <c r="HH14" s="54"/>
      <c r="HI14" s="54"/>
      <c r="HJ14" s="54"/>
      <c r="HK14" s="54"/>
      <c r="HL14" s="54"/>
      <c r="HM14" s="54"/>
      <c r="HN14" s="54"/>
      <c r="HQ14" s="730">
        <v>11</v>
      </c>
      <c r="HR14" s="867">
        <v>11</v>
      </c>
      <c r="HS14" s="732" t="s">
        <v>418</v>
      </c>
      <c r="HT14" s="784">
        <f t="shared" si="86"/>
        <v>52591085.489941336</v>
      </c>
      <c r="HU14" s="917">
        <f t="shared" si="87"/>
        <v>16.217751</v>
      </c>
      <c r="HV14" s="868"/>
      <c r="HW14" s="765"/>
      <c r="HX14" s="868">
        <v>-2.816278999999998</v>
      </c>
      <c r="HY14" s="766">
        <v>25</v>
      </c>
      <c r="IP14" s="730">
        <v>11</v>
      </c>
      <c r="IQ14" s="867">
        <v>11</v>
      </c>
      <c r="IR14" s="732" t="s">
        <v>418</v>
      </c>
      <c r="IS14" s="913">
        <f t="shared" si="106"/>
        <v>8529091.2929558158</v>
      </c>
      <c r="IT14" s="915">
        <f t="shared" si="88"/>
        <v>52591085.489941336</v>
      </c>
      <c r="IU14" s="918">
        <f t="shared" si="89"/>
        <v>16.217751</v>
      </c>
      <c r="IV14" s="904">
        <f t="shared" si="110"/>
        <v>7688678.1402783645</v>
      </c>
      <c r="IW14" s="904">
        <f t="shared" si="91"/>
        <v>44902407.349662974</v>
      </c>
      <c r="IX14" s="913">
        <f t="shared" si="111"/>
        <v>115330.17210417546</v>
      </c>
      <c r="IY14" s="881">
        <f t="shared" si="93"/>
        <v>8413761.1208516397</v>
      </c>
      <c r="IZ14" s="928">
        <f t="shared" si="112"/>
        <v>15.998454951953541</v>
      </c>
      <c r="JA14" s="928">
        <f t="shared" si="113"/>
        <v>17.498454951953541</v>
      </c>
      <c r="JB14" s="913">
        <f t="shared" si="107"/>
        <v>8529091.2929558158</v>
      </c>
      <c r="JC14" s="852">
        <v>0.22223353508375254</v>
      </c>
      <c r="JG14" s="730">
        <v>11</v>
      </c>
      <c r="JH14" s="867">
        <v>11</v>
      </c>
      <c r="JI14" s="732" t="s">
        <v>418</v>
      </c>
      <c r="JJ14" s="784">
        <f t="shared" si="96"/>
        <v>52591085.489941336</v>
      </c>
      <c r="JK14" s="917">
        <f t="shared" si="97"/>
        <v>15.998454951953541</v>
      </c>
      <c r="JL14" s="868">
        <v>18.966000000000001</v>
      </c>
      <c r="JM14" s="765"/>
      <c r="JN14" s="868"/>
      <c r="JO14" s="766">
        <v>25</v>
      </c>
      <c r="JT14" s="936">
        <v>6.4202430000000001</v>
      </c>
      <c r="JU14" s="936">
        <f t="shared" si="64"/>
        <v>1.0529999999997486E-3</v>
      </c>
      <c r="JV14" s="13">
        <v>29240088</v>
      </c>
      <c r="JW14" s="13">
        <f t="shared" si="65"/>
        <v>-183921.69617652521</v>
      </c>
    </row>
    <row r="15" spans="1:294" x14ac:dyDescent="0.3">
      <c r="J15" s="338">
        <v>12</v>
      </c>
      <c r="K15" s="759">
        <v>12</v>
      </c>
      <c r="L15" s="518" t="s">
        <v>419</v>
      </c>
      <c r="M15" s="904">
        <v>29056166.303823475</v>
      </c>
      <c r="N15" s="943">
        <f t="shared" si="66"/>
        <v>1.3183058752449014E-2</v>
      </c>
      <c r="O15" s="455">
        <v>1630.8000000000002</v>
      </c>
      <c r="P15" s="948">
        <f t="shared" si="67"/>
        <v>17817.124297169164</v>
      </c>
      <c r="Q15" s="659">
        <f t="shared" si="68"/>
        <v>1.0090746737489375E-2</v>
      </c>
      <c r="R15" s="322" t="s">
        <v>402</v>
      </c>
      <c r="V15" s="734">
        <f t="shared" si="98"/>
        <v>12</v>
      </c>
      <c r="W15" s="735">
        <f t="shared" si="0"/>
        <v>12</v>
      </c>
      <c r="X15" s="518" t="s">
        <v>419</v>
      </c>
      <c r="Y15" s="924">
        <f t="shared" si="69"/>
        <v>1390192.7589903893</v>
      </c>
      <c r="Z15" s="943">
        <f t="shared" si="70"/>
        <v>1.6610539383817194E-2</v>
      </c>
      <c r="AD15" s="734">
        <v>12</v>
      </c>
      <c r="AE15" s="146">
        <v>12</v>
      </c>
      <c r="AF15" s="347" t="s">
        <v>419</v>
      </c>
      <c r="AG15" s="369">
        <v>5.03</v>
      </c>
      <c r="AQ15" s="734">
        <f t="shared" si="71"/>
        <v>12</v>
      </c>
      <c r="AR15" s="787">
        <f t="shared" si="1"/>
        <v>12</v>
      </c>
      <c r="AS15" s="518" t="s">
        <v>419</v>
      </c>
      <c r="AT15" s="518">
        <f t="shared" si="2"/>
        <v>5.03</v>
      </c>
      <c r="AU15" s="788">
        <f t="shared" si="72"/>
        <v>29056166.303823475</v>
      </c>
      <c r="AV15" s="788">
        <f t="shared" si="99"/>
        <v>40597.921252286687</v>
      </c>
      <c r="AW15" s="789">
        <f t="shared" si="3"/>
        <v>42017.275768715233</v>
      </c>
      <c r="AX15" s="790">
        <f t="shared" si="4"/>
        <v>18.336776074005567</v>
      </c>
      <c r="AY15" s="358">
        <f t="shared" si="108"/>
        <v>770461.37701067131</v>
      </c>
      <c r="AZ15" s="35">
        <f t="shared" si="73"/>
        <v>2.1340188613178802E-2</v>
      </c>
      <c r="BA15" s="55">
        <f t="shared" si="5"/>
        <v>2.6516280000000001</v>
      </c>
      <c r="BL15" s="338">
        <f t="shared" si="100"/>
        <v>12</v>
      </c>
      <c r="BM15" s="322">
        <f t="shared" si="6"/>
        <v>12</v>
      </c>
      <c r="BN15" s="518" t="s">
        <v>419</v>
      </c>
      <c r="BO15" s="659">
        <f t="shared" si="7"/>
        <v>2.1340188613178802E-2</v>
      </c>
      <c r="BP15" s="358">
        <f t="shared" si="74"/>
        <v>167639.96285626577</v>
      </c>
      <c r="BQ15" s="659">
        <f t="shared" si="8"/>
        <v>1.3183058752449014E-2</v>
      </c>
      <c r="BR15" s="358">
        <f t="shared" si="75"/>
        <v>103560.82224257918</v>
      </c>
      <c r="BS15" s="809">
        <f t="shared" si="9"/>
        <v>271200.78509884496</v>
      </c>
      <c r="BT15" s="810">
        <f t="shared" si="10"/>
        <v>0.93336699999999995</v>
      </c>
      <c r="BW15" s="1"/>
      <c r="BX15" s="10"/>
      <c r="BY15" s="10"/>
      <c r="BZ15" s="10"/>
      <c r="CA15" s="10"/>
      <c r="CB15" s="10"/>
      <c r="CC15" s="10"/>
      <c r="CD15" s="10"/>
      <c r="CE15" s="10"/>
      <c r="CI15" s="734">
        <f t="shared" si="101"/>
        <v>12</v>
      </c>
      <c r="CJ15" s="146">
        <f t="shared" si="12"/>
        <v>12</v>
      </c>
      <c r="CK15" s="518" t="s">
        <v>419</v>
      </c>
      <c r="CL15" s="344">
        <f t="shared" si="13"/>
        <v>1.3183058752449014E-2</v>
      </c>
      <c r="CM15" s="20">
        <f t="shared" si="14"/>
        <v>70585.262137906218</v>
      </c>
      <c r="CN15" s="344">
        <f t="shared" si="15"/>
        <v>1.0090746737489375E-2</v>
      </c>
      <c r="CO15" s="20">
        <f t="shared" si="16"/>
        <v>175590.37493909113</v>
      </c>
      <c r="CP15" s="20">
        <f t="shared" si="17"/>
        <v>246175.63707699734</v>
      </c>
      <c r="CQ15" s="344">
        <f t="shared" si="18"/>
        <v>1.0818354439768391E-2</v>
      </c>
      <c r="CR15" s="342">
        <f t="shared" si="19"/>
        <v>0.84724100000000002</v>
      </c>
      <c r="DE15" s="1"/>
      <c r="DH15" s="734">
        <v>12</v>
      </c>
      <c r="DI15" s="745">
        <f t="shared" si="20"/>
        <v>12</v>
      </c>
      <c r="DJ15" s="518" t="s">
        <v>419</v>
      </c>
      <c r="DK15" s="344">
        <f t="shared" si="21"/>
        <v>1.0818354439768391E-2</v>
      </c>
      <c r="DL15" s="20">
        <f t="shared" si="77"/>
        <v>3417.8216678637305</v>
      </c>
      <c r="DM15" s="344">
        <f t="shared" si="22"/>
        <v>1.0090746737489375E-2</v>
      </c>
      <c r="DN15" s="20">
        <f t="shared" si="23"/>
        <v>19729.463626115648</v>
      </c>
      <c r="DO15" s="344">
        <f t="shared" si="24"/>
        <v>1.3183058752449014E-2</v>
      </c>
      <c r="DP15" s="20">
        <f t="shared" si="25"/>
        <v>42915.080960438623</v>
      </c>
      <c r="DQ15" s="20">
        <f t="shared" si="78"/>
        <v>66062.366254417997</v>
      </c>
      <c r="DR15" s="344">
        <f t="shared" si="26"/>
        <v>1.1953847726039824E-2</v>
      </c>
      <c r="DS15" s="342">
        <f t="shared" si="27"/>
        <v>0.22736100000000001</v>
      </c>
      <c r="DW15" s="734">
        <f t="shared" si="102"/>
        <v>12</v>
      </c>
      <c r="DX15" s="745">
        <f t="shared" si="28"/>
        <v>12</v>
      </c>
      <c r="DY15" s="518" t="s">
        <v>419</v>
      </c>
      <c r="DZ15" s="344">
        <f t="shared" si="29"/>
        <v>1.0090746737489375E-2</v>
      </c>
      <c r="EA15" s="20">
        <f t="shared" si="30"/>
        <v>36292.59354945767</v>
      </c>
      <c r="EB15" s="342">
        <f t="shared" si="31"/>
        <v>0.124905</v>
      </c>
      <c r="EN15" s="734">
        <f t="shared" si="103"/>
        <v>12</v>
      </c>
      <c r="EO15" s="745">
        <f t="shared" si="32"/>
        <v>12</v>
      </c>
      <c r="EP15" s="518" t="s">
        <v>419</v>
      </c>
      <c r="EQ15" s="344">
        <f t="shared" si="33"/>
        <v>1.6610539383817194E-2</v>
      </c>
      <c r="ER15" s="20">
        <f t="shared" si="34"/>
        <v>118892.24544130288</v>
      </c>
      <c r="ES15" s="344">
        <f t="shared" si="35"/>
        <v>1.0818354439768391E-2</v>
      </c>
      <c r="ET15" s="20">
        <f t="shared" si="36"/>
        <v>10440.224000725011</v>
      </c>
      <c r="EU15" s="344">
        <f t="shared" si="37"/>
        <v>1.3183058752449014E-2</v>
      </c>
      <c r="EV15" s="20">
        <f t="shared" si="38"/>
        <v>34085.04684061779</v>
      </c>
      <c r="EW15" s="20">
        <f t="shared" si="39"/>
        <v>163417.51628264567</v>
      </c>
      <c r="EX15" s="344">
        <f t="shared" si="40"/>
        <v>1.52609623035234E-2</v>
      </c>
      <c r="EY15" s="342">
        <f t="shared" si="41"/>
        <v>0.562419</v>
      </c>
      <c r="FI15" s="734">
        <f t="shared" si="104"/>
        <v>12</v>
      </c>
      <c r="FJ15" s="735">
        <f t="shared" si="42"/>
        <v>12</v>
      </c>
      <c r="FK15" s="518" t="s">
        <v>419</v>
      </c>
      <c r="FL15" s="344">
        <f t="shared" si="43"/>
        <v>1.6610539383817194E-2</v>
      </c>
      <c r="FM15" s="20">
        <f t="shared" si="44"/>
        <v>312172.30729809403</v>
      </c>
      <c r="FN15" s="342">
        <f t="shared" si="45"/>
        <v>1.0743750000000001</v>
      </c>
      <c r="FR15" s="734">
        <f t="shared" si="105"/>
        <v>12</v>
      </c>
      <c r="FS15" s="735">
        <v>12</v>
      </c>
      <c r="FT15" s="518" t="s">
        <v>419</v>
      </c>
      <c r="FU15" s="20">
        <f t="shared" si="46"/>
        <v>770461.37701067131</v>
      </c>
      <c r="FV15" s="20">
        <f t="shared" si="47"/>
        <v>271200.78509884496</v>
      </c>
      <c r="FW15" s="20">
        <f t="shared" si="48"/>
        <v>246175.63707699734</v>
      </c>
      <c r="FX15" s="20">
        <f t="shared" si="49"/>
        <v>66062.366254417997</v>
      </c>
      <c r="FY15" s="20">
        <f t="shared" si="50"/>
        <v>36292.59354945767</v>
      </c>
      <c r="FZ15" s="20">
        <f t="shared" si="51"/>
        <v>163417.51628264567</v>
      </c>
      <c r="GA15" s="20">
        <f t="shared" si="52"/>
        <v>312172.30729809403</v>
      </c>
      <c r="GB15" s="20">
        <f t="shared" si="53"/>
        <v>1865782.5825711291</v>
      </c>
      <c r="GC15" s="414">
        <f t="shared" si="54"/>
        <v>6.4212959999999999</v>
      </c>
      <c r="GG15" s="734">
        <f t="shared" si="79"/>
        <v>12</v>
      </c>
      <c r="GH15" s="735">
        <f t="shared" si="55"/>
        <v>12</v>
      </c>
      <c r="GI15" s="518" t="s">
        <v>419</v>
      </c>
      <c r="GJ15" s="342">
        <f t="shared" si="56"/>
        <v>2.6516280000000001</v>
      </c>
      <c r="GK15" s="342">
        <f t="shared" si="57"/>
        <v>0.93336699999999995</v>
      </c>
      <c r="GL15" s="342">
        <f t="shared" si="58"/>
        <v>0.84724100000000002</v>
      </c>
      <c r="GM15" s="342">
        <f t="shared" si="59"/>
        <v>0.22736100000000001</v>
      </c>
      <c r="GN15" s="342">
        <f t="shared" si="60"/>
        <v>0.124905</v>
      </c>
      <c r="GO15" s="342">
        <f t="shared" si="61"/>
        <v>0.562419</v>
      </c>
      <c r="GP15" s="342">
        <f t="shared" si="62"/>
        <v>1.0743750000000001</v>
      </c>
      <c r="GQ15" s="342">
        <f t="shared" si="63"/>
        <v>6.4212959999999999</v>
      </c>
      <c r="GR15" s="788">
        <f t="shared" si="80"/>
        <v>29056166.303823475</v>
      </c>
      <c r="GS15" s="716"/>
      <c r="GV15" s="718">
        <f t="shared" si="81"/>
        <v>12</v>
      </c>
      <c r="GW15" s="735">
        <v>12</v>
      </c>
      <c r="GX15" s="518" t="s">
        <v>419</v>
      </c>
      <c r="GY15" s="322" t="s">
        <v>402</v>
      </c>
      <c r="GZ15" s="924">
        <f t="shared" si="82"/>
        <v>1865782.5825711291</v>
      </c>
      <c r="HA15" s="788">
        <f t="shared" si="83"/>
        <v>29056166.303823475</v>
      </c>
      <c r="HB15" s="922">
        <f t="shared" si="109"/>
        <v>6.4212959999999999</v>
      </c>
      <c r="HC15" s="942">
        <f t="shared" si="85"/>
        <v>1865782.4446207646</v>
      </c>
      <c r="HD15" s="858">
        <v>0.12119537964463234</v>
      </c>
      <c r="HE15" s="54"/>
      <c r="HH15" s="54"/>
      <c r="HI15" s="54"/>
      <c r="HJ15" s="54"/>
      <c r="HK15" s="54"/>
      <c r="HL15" s="54"/>
      <c r="HM15" s="54"/>
      <c r="HN15" s="54"/>
      <c r="HQ15" s="734">
        <v>12</v>
      </c>
      <c r="HR15" s="869">
        <v>12</v>
      </c>
      <c r="HS15" s="518" t="s">
        <v>419</v>
      </c>
      <c r="HT15" s="788">
        <f t="shared" si="86"/>
        <v>29056166.303823475</v>
      </c>
      <c r="HU15" s="917">
        <f t="shared" si="87"/>
        <v>6.4212959999999999</v>
      </c>
      <c r="HV15" s="870"/>
      <c r="HW15" s="768"/>
      <c r="HX15" s="870">
        <v>-1.7861609999999999</v>
      </c>
      <c r="HY15" s="769">
        <v>10</v>
      </c>
      <c r="IP15" s="734">
        <v>12</v>
      </c>
      <c r="IQ15" s="869">
        <v>12</v>
      </c>
      <c r="IR15" s="518" t="s">
        <v>419</v>
      </c>
      <c r="IS15" s="913">
        <f t="shared" si="106"/>
        <v>1865782.4446207646</v>
      </c>
      <c r="IT15" s="915">
        <f t="shared" si="88"/>
        <v>29056166.303823475</v>
      </c>
      <c r="IU15" s="919">
        <f t="shared" si="89"/>
        <v>6.4212959999999999</v>
      </c>
      <c r="IV15" s="904">
        <v>0</v>
      </c>
      <c r="IW15" s="904">
        <f t="shared" si="91"/>
        <v>29056166.303823475</v>
      </c>
      <c r="IX15" s="913">
        <v>0</v>
      </c>
      <c r="IY15" s="882">
        <f t="shared" si="93"/>
        <v>1865782.4446207646</v>
      </c>
      <c r="IZ15" s="928">
        <f>IU15</f>
        <v>6.4212959999999999</v>
      </c>
      <c r="JA15" s="929">
        <f>IZ15</f>
        <v>6.4212959999999999</v>
      </c>
      <c r="JB15" s="913">
        <f t="shared" si="107"/>
        <v>1865782.4446207646</v>
      </c>
      <c r="JC15" s="883">
        <v>0</v>
      </c>
      <c r="JG15" s="734">
        <v>12</v>
      </c>
      <c r="JH15" s="869">
        <v>12</v>
      </c>
      <c r="JI15" s="518" t="s">
        <v>419</v>
      </c>
      <c r="JJ15" s="788">
        <f t="shared" si="96"/>
        <v>29056166.303823475</v>
      </c>
      <c r="JK15" s="917">
        <f t="shared" si="97"/>
        <v>6.4212959999999999</v>
      </c>
      <c r="JL15" s="870">
        <v>8.2569999999999997</v>
      </c>
      <c r="JM15" s="768"/>
      <c r="JN15" s="870"/>
      <c r="JO15" s="769">
        <v>10</v>
      </c>
      <c r="JT15" s="936">
        <v>109.12596292654027</v>
      </c>
      <c r="JU15" s="936">
        <f t="shared" si="64"/>
        <v>1.8950254132761302E-3</v>
      </c>
      <c r="JV15" s="13">
        <v>1174</v>
      </c>
      <c r="JW15" s="13">
        <f t="shared" si="65"/>
        <v>-341.58518418090569</v>
      </c>
    </row>
    <row r="16" spans="1:294" x14ac:dyDescent="0.3">
      <c r="F16" s="5"/>
      <c r="J16" s="756">
        <v>13</v>
      </c>
      <c r="K16" s="757">
        <v>13</v>
      </c>
      <c r="L16" s="732" t="s">
        <v>420</v>
      </c>
      <c r="M16" s="904">
        <v>832.41481581909431</v>
      </c>
      <c r="N16" s="944">
        <f t="shared" si="66"/>
        <v>3.7767451179229093E-7</v>
      </c>
      <c r="O16" s="753">
        <v>38.909090909090907</v>
      </c>
      <c r="P16" s="948">
        <f t="shared" si="67"/>
        <v>21.393838724322517</v>
      </c>
      <c r="Q16" s="733">
        <f t="shared" si="68"/>
        <v>1.2116422645383401E-5</v>
      </c>
      <c r="R16" s="758" t="s">
        <v>397</v>
      </c>
      <c r="V16" s="730">
        <f>+V15+1</f>
        <v>13</v>
      </c>
      <c r="W16" s="731">
        <f t="shared" si="0"/>
        <v>13</v>
      </c>
      <c r="X16" s="732" t="s">
        <v>420</v>
      </c>
      <c r="Y16" s="924">
        <f t="shared" si="69"/>
        <v>687.14980429581271</v>
      </c>
      <c r="Z16" s="944">
        <f t="shared" si="70"/>
        <v>8.2103210601723337E-6</v>
      </c>
      <c r="AD16" s="730">
        <v>13</v>
      </c>
      <c r="AE16" s="746">
        <v>13</v>
      </c>
      <c r="AF16" s="747" t="s">
        <v>420</v>
      </c>
      <c r="AG16" s="748">
        <v>74.84</v>
      </c>
      <c r="AQ16" s="730">
        <f t="shared" si="71"/>
        <v>13</v>
      </c>
      <c r="AR16" s="783">
        <f t="shared" si="1"/>
        <v>13</v>
      </c>
      <c r="AS16" s="732" t="s">
        <v>420</v>
      </c>
      <c r="AT16" s="732">
        <f t="shared" si="2"/>
        <v>74.84</v>
      </c>
      <c r="AU16" s="784">
        <f t="shared" si="72"/>
        <v>832.41481581909431</v>
      </c>
      <c r="AV16" s="784">
        <f t="shared" si="99"/>
        <v>17.304979115528063</v>
      </c>
      <c r="AW16" s="785">
        <f t="shared" si="3"/>
        <v>17.909983005054624</v>
      </c>
      <c r="AX16" s="786">
        <f t="shared" si="4"/>
        <v>18.336776074005567</v>
      </c>
      <c r="AY16" s="379">
        <f>AW16*AX16</f>
        <v>328.41134785293195</v>
      </c>
      <c r="AZ16" s="51">
        <f t="shared" si="73"/>
        <v>9.0963159413411745E-6</v>
      </c>
      <c r="BA16" s="53">
        <f t="shared" si="5"/>
        <v>39.452848000000003</v>
      </c>
      <c r="BL16" s="756">
        <f t="shared" si="100"/>
        <v>13</v>
      </c>
      <c r="BM16" s="758">
        <f t="shared" si="6"/>
        <v>13</v>
      </c>
      <c r="BN16" s="732" t="s">
        <v>420</v>
      </c>
      <c r="BO16" s="733">
        <f t="shared" si="7"/>
        <v>9.0963159413411745E-6</v>
      </c>
      <c r="BP16" s="379">
        <f t="shared" si="74"/>
        <v>71.457009784514042</v>
      </c>
      <c r="BQ16" s="733">
        <f t="shared" si="8"/>
        <v>3.7767451179229093E-7</v>
      </c>
      <c r="BR16" s="379">
        <f t="shared" si="75"/>
        <v>2.9668594910880173</v>
      </c>
      <c r="BS16" s="807">
        <f t="shared" si="9"/>
        <v>74.423869275602058</v>
      </c>
      <c r="BT16" s="808">
        <f t="shared" si="10"/>
        <v>8.9407189999999996</v>
      </c>
      <c r="BW16" s="1"/>
      <c r="BX16" s="10"/>
      <c r="BY16" s="10"/>
      <c r="BZ16" s="10"/>
      <c r="CA16" s="10"/>
      <c r="CB16" s="10"/>
      <c r="CC16" s="10"/>
      <c r="CD16" s="10"/>
      <c r="CE16" s="10"/>
      <c r="CI16" s="730">
        <f t="shared" si="101"/>
        <v>13</v>
      </c>
      <c r="CJ16" s="746">
        <f t="shared" si="12"/>
        <v>13</v>
      </c>
      <c r="CK16" s="732" t="s">
        <v>420</v>
      </c>
      <c r="CL16" s="733">
        <f t="shared" si="13"/>
        <v>3.7767451179229093E-7</v>
      </c>
      <c r="CM16" s="379">
        <f t="shared" si="14"/>
        <v>2.0221600250937448</v>
      </c>
      <c r="CN16" s="733">
        <f t="shared" si="15"/>
        <v>1.2116422645383401E-5</v>
      </c>
      <c r="CO16" s="379">
        <f t="shared" si="16"/>
        <v>210.83942056727355</v>
      </c>
      <c r="CP16" s="379">
        <f t="shared" si="17"/>
        <v>212.86158059236729</v>
      </c>
      <c r="CQ16" s="733">
        <f t="shared" si="18"/>
        <v>9.3543457541141403E-6</v>
      </c>
      <c r="CR16" s="808">
        <f t="shared" si="19"/>
        <v>25.571574999999999</v>
      </c>
      <c r="DE16" s="1"/>
      <c r="DH16" s="730">
        <v>13</v>
      </c>
      <c r="DI16" s="840">
        <f t="shared" si="20"/>
        <v>13</v>
      </c>
      <c r="DJ16" s="732" t="s">
        <v>420</v>
      </c>
      <c r="DK16" s="733">
        <f t="shared" si="21"/>
        <v>9.3543457541141403E-6</v>
      </c>
      <c r="DL16" s="379">
        <f t="shared" si="77"/>
        <v>2.9553002524647245</v>
      </c>
      <c r="DM16" s="733">
        <f t="shared" si="22"/>
        <v>1.2116422645383401E-5</v>
      </c>
      <c r="DN16" s="379">
        <f t="shared" si="23"/>
        <v>23.690072308782639</v>
      </c>
      <c r="DO16" s="733">
        <f t="shared" si="24"/>
        <v>3.7767451179229093E-7</v>
      </c>
      <c r="DP16" s="379">
        <f t="shared" si="25"/>
        <v>1.2294515676985323</v>
      </c>
      <c r="DQ16" s="379">
        <f t="shared" si="78"/>
        <v>27.874824128945896</v>
      </c>
      <c r="DR16" s="733">
        <f t="shared" si="26"/>
        <v>5.0438914304750022E-6</v>
      </c>
      <c r="DS16" s="808">
        <f t="shared" si="27"/>
        <v>3.3486699999999998</v>
      </c>
      <c r="DW16" s="730">
        <f t="shared" si="102"/>
        <v>13</v>
      </c>
      <c r="DX16" s="840">
        <f t="shared" si="28"/>
        <v>13</v>
      </c>
      <c r="DY16" s="732" t="s">
        <v>420</v>
      </c>
      <c r="DZ16" s="733">
        <f t="shared" si="29"/>
        <v>1.2116422645383401E-5</v>
      </c>
      <c r="EA16" s="379">
        <f t="shared" si="30"/>
        <v>43.578182445965631</v>
      </c>
      <c r="EB16" s="808">
        <f t="shared" si="31"/>
        <v>5.2351520000000002</v>
      </c>
      <c r="EN16" s="730">
        <f>+EN15+1</f>
        <v>13</v>
      </c>
      <c r="EO16" s="840">
        <f t="shared" si="32"/>
        <v>13</v>
      </c>
      <c r="EP16" s="732" t="s">
        <v>420</v>
      </c>
      <c r="EQ16" s="733">
        <f t="shared" si="33"/>
        <v>8.2103210601723337E-6</v>
      </c>
      <c r="ER16" s="379">
        <f t="shared" si="34"/>
        <v>58.766514685785232</v>
      </c>
      <c r="ES16" s="733">
        <f t="shared" si="35"/>
        <v>9.3543457541141403E-6</v>
      </c>
      <c r="ET16" s="379">
        <f t="shared" si="36"/>
        <v>9.0273863365187896</v>
      </c>
      <c r="EU16" s="733">
        <f t="shared" si="37"/>
        <v>3.7767451179229093E-7</v>
      </c>
      <c r="EV16" s="379">
        <f t="shared" si="38"/>
        <v>0.97648456755578583</v>
      </c>
      <c r="EW16" s="379">
        <f t="shared" si="39"/>
        <v>68.770385589859814</v>
      </c>
      <c r="EX16" s="733">
        <f t="shared" si="40"/>
        <v>6.4222140071594808E-6</v>
      </c>
      <c r="EY16" s="808">
        <f t="shared" si="41"/>
        <v>8.261552</v>
      </c>
      <c r="FI16" s="730">
        <f>+FI15+1</f>
        <v>13</v>
      </c>
      <c r="FJ16" s="731">
        <f t="shared" si="42"/>
        <v>13</v>
      </c>
      <c r="FK16" s="732" t="s">
        <v>420</v>
      </c>
      <c r="FL16" s="733">
        <f t="shared" si="43"/>
        <v>8.2103210601723337E-6</v>
      </c>
      <c r="FM16" s="379">
        <f t="shared" si="44"/>
        <v>154.30172433227341</v>
      </c>
      <c r="FN16" s="808">
        <f t="shared" si="45"/>
        <v>18.536638</v>
      </c>
      <c r="FR16" s="730">
        <f>+FR15+1</f>
        <v>13</v>
      </c>
      <c r="FS16" s="731">
        <v>13</v>
      </c>
      <c r="FT16" s="732" t="s">
        <v>420</v>
      </c>
      <c r="FU16" s="379">
        <f t="shared" si="46"/>
        <v>328.41134785293195</v>
      </c>
      <c r="FV16" s="379">
        <f t="shared" si="47"/>
        <v>74.423869275602058</v>
      </c>
      <c r="FW16" s="379">
        <f t="shared" si="48"/>
        <v>212.86158059236729</v>
      </c>
      <c r="FX16" s="379">
        <f t="shared" si="49"/>
        <v>27.874824128945896</v>
      </c>
      <c r="FY16" s="379">
        <f t="shared" si="50"/>
        <v>43.578182445965631</v>
      </c>
      <c r="FZ16" s="379">
        <f t="shared" si="51"/>
        <v>68.770385589859814</v>
      </c>
      <c r="GA16" s="379">
        <f t="shared" si="52"/>
        <v>154.30172433227341</v>
      </c>
      <c r="GB16" s="379">
        <f t="shared" si="53"/>
        <v>910.22191421794582</v>
      </c>
      <c r="GC16" s="852">
        <f t="shared" si="54"/>
        <v>109.347154</v>
      </c>
      <c r="GG16" s="730">
        <f t="shared" si="79"/>
        <v>13</v>
      </c>
      <c r="GH16" s="731">
        <f t="shared" si="55"/>
        <v>13</v>
      </c>
      <c r="GI16" s="732" t="s">
        <v>420</v>
      </c>
      <c r="GJ16" s="808">
        <f t="shared" si="56"/>
        <v>39.452848000000003</v>
      </c>
      <c r="GK16" s="808">
        <f t="shared" si="57"/>
        <v>8.9407189999999996</v>
      </c>
      <c r="GL16" s="808">
        <f t="shared" si="58"/>
        <v>25.571574999999999</v>
      </c>
      <c r="GM16" s="808">
        <f t="shared" si="59"/>
        <v>3.3486699999999998</v>
      </c>
      <c r="GN16" s="808">
        <f t="shared" si="60"/>
        <v>5.2351520000000002</v>
      </c>
      <c r="GO16" s="808">
        <f t="shared" si="61"/>
        <v>8.261552</v>
      </c>
      <c r="GP16" s="808">
        <f t="shared" si="62"/>
        <v>18.536638</v>
      </c>
      <c r="GQ16" s="808">
        <f t="shared" si="63"/>
        <v>109.347154</v>
      </c>
      <c r="GR16" s="784">
        <f t="shared" si="80"/>
        <v>832.41481581909431</v>
      </c>
      <c r="GS16" s="716"/>
      <c r="GV16" s="717">
        <f t="shared" si="81"/>
        <v>13</v>
      </c>
      <c r="GW16" s="731">
        <v>13</v>
      </c>
      <c r="GX16" s="732" t="s">
        <v>420</v>
      </c>
      <c r="GY16" s="758" t="s">
        <v>397</v>
      </c>
      <c r="GZ16" s="906">
        <f t="shared" si="82"/>
        <v>910.22191421794582</v>
      </c>
      <c r="HA16" s="784">
        <f t="shared" si="83"/>
        <v>832.41481581909431</v>
      </c>
      <c r="HB16" s="922">
        <f t="shared" si="109"/>
        <v>109.347154</v>
      </c>
      <c r="HC16" s="942">
        <f t="shared" si="85"/>
        <v>910.22191057252144</v>
      </c>
      <c r="HD16" s="857">
        <v>3.0916014566173544E-6</v>
      </c>
      <c r="HE16" s="54"/>
      <c r="HH16" s="54"/>
      <c r="HI16" s="54"/>
      <c r="HJ16" s="54"/>
      <c r="HK16" s="54"/>
      <c r="HL16" s="54"/>
      <c r="HM16" s="54"/>
      <c r="HN16" s="54"/>
      <c r="HQ16" s="730">
        <v>13</v>
      </c>
      <c r="HR16" s="867">
        <v>13</v>
      </c>
      <c r="HS16" s="732" t="s">
        <v>420</v>
      </c>
      <c r="HT16" s="784">
        <f t="shared" si="86"/>
        <v>832.41481581909431</v>
      </c>
      <c r="HU16" s="917">
        <f t="shared" si="87"/>
        <v>109.347154</v>
      </c>
      <c r="HV16" s="868"/>
      <c r="HW16" s="765"/>
      <c r="HX16" s="868">
        <v>-62.519793000000007</v>
      </c>
      <c r="HY16" s="766">
        <v>10</v>
      </c>
      <c r="IP16" s="730">
        <v>13</v>
      </c>
      <c r="IQ16" s="867">
        <v>13</v>
      </c>
      <c r="IR16" s="732" t="s">
        <v>420</v>
      </c>
      <c r="IS16" s="913">
        <f t="shared" si="106"/>
        <v>910.22191057252144</v>
      </c>
      <c r="IT16" s="915">
        <f t="shared" si="88"/>
        <v>832.41481581909431</v>
      </c>
      <c r="IU16" s="918">
        <f t="shared" si="89"/>
        <v>109.347154</v>
      </c>
      <c r="IV16" s="904">
        <f>IT16*$IK$4/(1-$IL$4)</f>
        <v>121.69685296296495</v>
      </c>
      <c r="IW16" s="904">
        <f t="shared" si="91"/>
        <v>710.71796285612936</v>
      </c>
      <c r="IX16" s="913">
        <f>IV16*$II$4</f>
        <v>1.8254527944444743</v>
      </c>
      <c r="IY16" s="881">
        <f t="shared" si="93"/>
        <v>908.39645777807698</v>
      </c>
      <c r="IZ16" s="928">
        <f>100*IY16/IT16</f>
        <v>109.12785795195354</v>
      </c>
      <c r="JA16" s="928">
        <f>IZ16+1.5</f>
        <v>110.62785795195354</v>
      </c>
      <c r="JB16" s="913">
        <f t="shared" si="107"/>
        <v>910.22191057252144</v>
      </c>
      <c r="JC16" s="852">
        <v>0.22223338397144232</v>
      </c>
      <c r="JG16" s="730">
        <v>13</v>
      </c>
      <c r="JH16" s="867">
        <v>13</v>
      </c>
      <c r="JI16" s="732" t="s">
        <v>420</v>
      </c>
      <c r="JJ16" s="784">
        <f t="shared" si="96"/>
        <v>832.41481581909431</v>
      </c>
      <c r="JK16" s="917">
        <f t="shared" si="97"/>
        <v>109.12785795195354</v>
      </c>
      <c r="JL16" s="868">
        <v>172.63300000000001</v>
      </c>
      <c r="JM16" s="765"/>
      <c r="JN16" s="868"/>
      <c r="JO16" s="766">
        <v>10</v>
      </c>
      <c r="JT16" s="936">
        <v>7.0486779999999998</v>
      </c>
      <c r="JU16" s="936">
        <f t="shared" si="64"/>
        <v>9.4599999999989137E-4</v>
      </c>
      <c r="JV16" s="13">
        <v>4661820</v>
      </c>
      <c r="JW16" s="13">
        <f t="shared" si="65"/>
        <v>-238767</v>
      </c>
    </row>
    <row r="17" spans="3:294" x14ac:dyDescent="0.3">
      <c r="J17" s="338">
        <v>14</v>
      </c>
      <c r="K17" s="759">
        <v>14</v>
      </c>
      <c r="L17" s="518" t="s">
        <v>421</v>
      </c>
      <c r="M17" s="904">
        <v>4423053</v>
      </c>
      <c r="N17" s="943">
        <f t="shared" si="66"/>
        <v>2.0067811752757965E-3</v>
      </c>
      <c r="O17" s="455">
        <v>1224</v>
      </c>
      <c r="P17" s="948">
        <f t="shared" si="67"/>
        <v>3613.6053921568628</v>
      </c>
      <c r="Q17" s="659">
        <f t="shared" si="68"/>
        <v>2.0465691440045898E-3</v>
      </c>
      <c r="R17" s="322" t="s">
        <v>402</v>
      </c>
      <c r="V17" s="734">
        <f t="shared" si="98"/>
        <v>14</v>
      </c>
      <c r="W17" s="735">
        <f t="shared" si="0"/>
        <v>14</v>
      </c>
      <c r="X17" s="518" t="s">
        <v>421</v>
      </c>
      <c r="Y17" s="924">
        <f t="shared" si="69"/>
        <v>232546.96103301895</v>
      </c>
      <c r="Z17" s="943">
        <f t="shared" si="70"/>
        <v>2.778557455320962E-3</v>
      </c>
      <c r="AD17" s="734">
        <v>14</v>
      </c>
      <c r="AE17" s="146">
        <v>14</v>
      </c>
      <c r="AF17" s="347" t="s">
        <v>421</v>
      </c>
      <c r="AG17" s="369">
        <v>5.35</v>
      </c>
      <c r="AQ17" s="734">
        <f t="shared" si="71"/>
        <v>14</v>
      </c>
      <c r="AR17" s="787">
        <f t="shared" si="1"/>
        <v>14</v>
      </c>
      <c r="AS17" s="518" t="s">
        <v>421</v>
      </c>
      <c r="AT17" s="518">
        <f>VLOOKUP(AR17,$AE$4:$AG$27,$AT$30,FALSE)</f>
        <v>5.35</v>
      </c>
      <c r="AU17" s="788">
        <f t="shared" si="72"/>
        <v>4423053</v>
      </c>
      <c r="AV17" s="788">
        <f t="shared" si="99"/>
        <v>6573.1482083333321</v>
      </c>
      <c r="AW17" s="789">
        <f t="shared" si="3"/>
        <v>6802.9537577030951</v>
      </c>
      <c r="AX17" s="790">
        <f t="shared" si="4"/>
        <v>18.336776074005567</v>
      </c>
      <c r="AY17" s="358">
        <f t="shared" si="108"/>
        <v>124744.23969681638</v>
      </c>
      <c r="AZ17" s="35">
        <f t="shared" si="73"/>
        <v>3.4551577573768205E-3</v>
      </c>
      <c r="BA17" s="55">
        <f t="shared" si="5"/>
        <v>2.8203200000000002</v>
      </c>
      <c r="BL17" s="338">
        <f t="shared" si="100"/>
        <v>14</v>
      </c>
      <c r="BM17" s="322">
        <f t="shared" si="6"/>
        <v>14</v>
      </c>
      <c r="BN17" s="518" t="s">
        <v>421</v>
      </c>
      <c r="BO17" s="659">
        <f t="shared" si="7"/>
        <v>3.4551577573768205E-3</v>
      </c>
      <c r="BP17" s="358">
        <f t="shared" si="74"/>
        <v>27142.333585162662</v>
      </c>
      <c r="BQ17" s="659">
        <f t="shared" si="8"/>
        <v>2.0067811752757965E-3</v>
      </c>
      <c r="BR17" s="358">
        <f t="shared" si="75"/>
        <v>15764.468055176003</v>
      </c>
      <c r="BS17" s="809">
        <f t="shared" si="9"/>
        <v>42906.801640338665</v>
      </c>
      <c r="BT17" s="810">
        <f t="shared" si="10"/>
        <v>0.97007200000000005</v>
      </c>
      <c r="BW17" s="1"/>
      <c r="BX17" s="10"/>
      <c r="BY17" s="10"/>
      <c r="BZ17" s="10"/>
      <c r="CA17" s="10"/>
      <c r="CB17" s="10"/>
      <c r="CC17" s="10"/>
      <c r="CD17" s="10"/>
      <c r="CE17" s="10"/>
      <c r="CI17" s="734">
        <f t="shared" si="101"/>
        <v>14</v>
      </c>
      <c r="CJ17" s="146">
        <f t="shared" si="12"/>
        <v>14</v>
      </c>
      <c r="CK17" s="518" t="s">
        <v>421</v>
      </c>
      <c r="CL17" s="344">
        <f t="shared" si="13"/>
        <v>2.0067811752757965E-3</v>
      </c>
      <c r="CM17" s="20">
        <f t="shared" si="14"/>
        <v>10744.788290042588</v>
      </c>
      <c r="CN17" s="344">
        <f t="shared" si="15"/>
        <v>2.0465691440045898E-3</v>
      </c>
      <c r="CO17" s="20">
        <f t="shared" si="16"/>
        <v>35612.611502719235</v>
      </c>
      <c r="CP17" s="20">
        <f t="shared" si="17"/>
        <v>46357.399792761826</v>
      </c>
      <c r="CQ17" s="344">
        <f t="shared" si="18"/>
        <v>2.0372072062812764E-3</v>
      </c>
      <c r="CR17" s="342">
        <f t="shared" si="19"/>
        <v>1.0480860000000001</v>
      </c>
      <c r="DE17" s="1"/>
      <c r="DH17" s="734">
        <v>14</v>
      </c>
      <c r="DI17" s="745">
        <f t="shared" si="20"/>
        <v>14</v>
      </c>
      <c r="DJ17" s="518" t="s">
        <v>421</v>
      </c>
      <c r="DK17" s="344">
        <f t="shared" si="21"/>
        <v>2.0372072062812764E-3</v>
      </c>
      <c r="DL17" s="20">
        <f t="shared" si="77"/>
        <v>643.61090869429393</v>
      </c>
      <c r="DM17" s="344">
        <f t="shared" si="22"/>
        <v>2.0465691440045898E-3</v>
      </c>
      <c r="DN17" s="20">
        <f t="shared" si="23"/>
        <v>4001.4592116316817</v>
      </c>
      <c r="DO17" s="344">
        <f t="shared" si="24"/>
        <v>2.0067811752757965E-3</v>
      </c>
      <c r="DP17" s="20">
        <f t="shared" si="25"/>
        <v>6532.7158305234943</v>
      </c>
      <c r="DQ17" s="20">
        <f t="shared" si="78"/>
        <v>11177.785950849469</v>
      </c>
      <c r="DR17" s="344">
        <f t="shared" si="26"/>
        <v>2.0225971115859932E-3</v>
      </c>
      <c r="DS17" s="342">
        <f t="shared" si="27"/>
        <v>0.25271700000000002</v>
      </c>
      <c r="DW17" s="734">
        <f t="shared" si="102"/>
        <v>14</v>
      </c>
      <c r="DX17" s="745">
        <f t="shared" si="28"/>
        <v>14</v>
      </c>
      <c r="DY17" s="518" t="s">
        <v>421</v>
      </c>
      <c r="DZ17" s="344">
        <f t="shared" si="29"/>
        <v>2.0465691440045898E-3</v>
      </c>
      <c r="EA17" s="20">
        <f t="shared" si="30"/>
        <v>7360.7339522525881</v>
      </c>
      <c r="EB17" s="342">
        <f t="shared" si="31"/>
        <v>0.16641700000000001</v>
      </c>
      <c r="EN17" s="734">
        <f t="shared" si="103"/>
        <v>14</v>
      </c>
      <c r="EO17" s="745">
        <f t="shared" si="32"/>
        <v>14</v>
      </c>
      <c r="EP17" s="518" t="s">
        <v>421</v>
      </c>
      <c r="EQ17" s="344">
        <f t="shared" si="33"/>
        <v>2.778557455320962E-3</v>
      </c>
      <c r="ER17" s="20">
        <f t="shared" si="34"/>
        <v>19887.91136262703</v>
      </c>
      <c r="ES17" s="344">
        <f t="shared" si="35"/>
        <v>2.0372072062812764E-3</v>
      </c>
      <c r="ET17" s="20">
        <f t="shared" si="36"/>
        <v>1966.0013625808949</v>
      </c>
      <c r="EU17" s="344">
        <f t="shared" si="37"/>
        <v>2.0067811752757965E-3</v>
      </c>
      <c r="EV17" s="20">
        <f t="shared" si="38"/>
        <v>5188.5705466827767</v>
      </c>
      <c r="EW17" s="20">
        <f t="shared" si="39"/>
        <v>27042.483271890698</v>
      </c>
      <c r="EX17" s="344">
        <f t="shared" si="40"/>
        <v>2.5253982999728941E-3</v>
      </c>
      <c r="EY17" s="342">
        <f t="shared" si="41"/>
        <v>0.61139900000000003</v>
      </c>
      <c r="FI17" s="734">
        <f t="shared" si="104"/>
        <v>14</v>
      </c>
      <c r="FJ17" s="735">
        <f t="shared" si="42"/>
        <v>14</v>
      </c>
      <c r="FK17" s="518" t="s">
        <v>421</v>
      </c>
      <c r="FL17" s="344">
        <f t="shared" si="43"/>
        <v>2.778557455320962E-3</v>
      </c>
      <c r="FM17" s="20">
        <f t="shared" si="44"/>
        <v>52219.176737446491</v>
      </c>
      <c r="FN17" s="342">
        <f t="shared" si="45"/>
        <v>1.1806140000000001</v>
      </c>
      <c r="FR17" s="734">
        <f t="shared" si="105"/>
        <v>14</v>
      </c>
      <c r="FS17" s="735">
        <v>14</v>
      </c>
      <c r="FT17" s="518" t="s">
        <v>421</v>
      </c>
      <c r="FU17" s="20">
        <f t="shared" si="46"/>
        <v>124744.23969681638</v>
      </c>
      <c r="FV17" s="20">
        <f t="shared" si="47"/>
        <v>42906.801640338665</v>
      </c>
      <c r="FW17" s="20">
        <f t="shared" si="48"/>
        <v>46357.399792761826</v>
      </c>
      <c r="FX17" s="20">
        <f t="shared" si="49"/>
        <v>11177.785950849469</v>
      </c>
      <c r="FY17" s="20">
        <f t="shared" si="50"/>
        <v>7360.7339522525881</v>
      </c>
      <c r="FZ17" s="20">
        <f t="shared" si="51"/>
        <v>27042.483271890698</v>
      </c>
      <c r="GA17" s="20">
        <f t="shared" si="52"/>
        <v>52219.176737446491</v>
      </c>
      <c r="GB17" s="20">
        <f t="shared" si="53"/>
        <v>311808.62104235613</v>
      </c>
      <c r="GC17" s="414">
        <f t="shared" si="54"/>
        <v>7.0496239999999997</v>
      </c>
      <c r="GG17" s="734">
        <f t="shared" si="79"/>
        <v>14</v>
      </c>
      <c r="GH17" s="735">
        <f t="shared" si="55"/>
        <v>14</v>
      </c>
      <c r="GI17" s="518" t="s">
        <v>421</v>
      </c>
      <c r="GJ17" s="342">
        <f t="shared" si="56"/>
        <v>2.8203200000000002</v>
      </c>
      <c r="GK17" s="342">
        <f t="shared" si="57"/>
        <v>0.97007200000000005</v>
      </c>
      <c r="GL17" s="342">
        <f t="shared" si="58"/>
        <v>1.0480860000000001</v>
      </c>
      <c r="GM17" s="342">
        <f t="shared" si="59"/>
        <v>0.25271700000000002</v>
      </c>
      <c r="GN17" s="342">
        <f t="shared" si="60"/>
        <v>0.16641700000000001</v>
      </c>
      <c r="GO17" s="342">
        <f t="shared" si="61"/>
        <v>0.61139900000000003</v>
      </c>
      <c r="GP17" s="342">
        <f t="shared" si="62"/>
        <v>1.1806140000000001</v>
      </c>
      <c r="GQ17" s="342">
        <f t="shared" si="63"/>
        <v>7.0496239999999997</v>
      </c>
      <c r="GR17" s="788">
        <f t="shared" si="80"/>
        <v>4423053</v>
      </c>
      <c r="GS17" s="716"/>
      <c r="GV17" s="718">
        <f t="shared" si="81"/>
        <v>14</v>
      </c>
      <c r="GW17" s="735">
        <v>14</v>
      </c>
      <c r="GX17" s="518" t="s">
        <v>421</v>
      </c>
      <c r="GY17" s="322" t="s">
        <v>402</v>
      </c>
      <c r="GZ17" s="924">
        <f t="shared" si="82"/>
        <v>311808.62104235613</v>
      </c>
      <c r="HA17" s="788">
        <f t="shared" si="83"/>
        <v>4423053</v>
      </c>
      <c r="HB17" s="922">
        <f t="shared" si="109"/>
        <v>7.0496239999999997</v>
      </c>
      <c r="HC17" s="942">
        <f t="shared" si="85"/>
        <v>311808.60582071997</v>
      </c>
      <c r="HD17" s="858">
        <v>1.3547623995691538E-2</v>
      </c>
      <c r="HE17" s="54"/>
      <c r="HH17" s="54"/>
      <c r="HI17" s="54"/>
      <c r="HJ17" s="54"/>
      <c r="HK17" s="54"/>
      <c r="HL17" s="54"/>
      <c r="HM17" s="54"/>
      <c r="HN17" s="54"/>
      <c r="HQ17" s="734">
        <v>14</v>
      </c>
      <c r="HR17" s="869">
        <v>14</v>
      </c>
      <c r="HS17" s="518" t="s">
        <v>421</v>
      </c>
      <c r="HT17" s="788">
        <f t="shared" si="86"/>
        <v>4423053</v>
      </c>
      <c r="HU17" s="917">
        <f t="shared" si="87"/>
        <v>7.0496239999999997</v>
      </c>
      <c r="HV17" s="870"/>
      <c r="HW17" s="768"/>
      <c r="HX17" s="870">
        <v>-1.889964</v>
      </c>
      <c r="HY17" s="769">
        <v>10</v>
      </c>
      <c r="IP17" s="734">
        <v>14</v>
      </c>
      <c r="IQ17" s="869">
        <v>14</v>
      </c>
      <c r="IR17" s="518" t="s">
        <v>421</v>
      </c>
      <c r="IS17" s="913">
        <f t="shared" si="106"/>
        <v>311808.60582071997</v>
      </c>
      <c r="IT17" s="915">
        <f t="shared" si="88"/>
        <v>4423053</v>
      </c>
      <c r="IU17" s="919">
        <f t="shared" si="89"/>
        <v>7.0496239999999997</v>
      </c>
      <c r="IV17" s="904">
        <v>0</v>
      </c>
      <c r="IW17" s="904">
        <f t="shared" si="91"/>
        <v>4423053</v>
      </c>
      <c r="IX17" s="913">
        <v>0</v>
      </c>
      <c r="IY17" s="882">
        <f t="shared" si="93"/>
        <v>311808.60582071997</v>
      </c>
      <c r="IZ17" s="928">
        <f>IU17</f>
        <v>7.0496239999999997</v>
      </c>
      <c r="JA17" s="929">
        <f>IZ17</f>
        <v>7.0496239999999997</v>
      </c>
      <c r="JB17" s="913">
        <f t="shared" si="107"/>
        <v>311808.60582071997</v>
      </c>
      <c r="JC17" s="883">
        <v>0</v>
      </c>
      <c r="JG17" s="734">
        <v>14</v>
      </c>
      <c r="JH17" s="869">
        <v>14</v>
      </c>
      <c r="JI17" s="518" t="s">
        <v>421</v>
      </c>
      <c r="JJ17" s="788">
        <f t="shared" si="96"/>
        <v>4423053</v>
      </c>
      <c r="JK17" s="917">
        <f t="shared" si="97"/>
        <v>7.0496239999999997</v>
      </c>
      <c r="JL17" s="870">
        <v>8.9960000000000004</v>
      </c>
      <c r="JM17" s="768"/>
      <c r="JN17" s="870"/>
      <c r="JO17" s="769">
        <v>10</v>
      </c>
      <c r="JT17" s="936">
        <v>5.1476399265402577</v>
      </c>
      <c r="JU17" s="936">
        <f t="shared" si="64"/>
        <v>6.6302541328422393E-4</v>
      </c>
      <c r="JV17" s="13">
        <v>96124959</v>
      </c>
      <c r="JW17" s="13">
        <f t="shared" si="65"/>
        <v>-4842201.7479483932</v>
      </c>
    </row>
    <row r="18" spans="3:294" x14ac:dyDescent="0.3">
      <c r="J18" s="756">
        <v>15</v>
      </c>
      <c r="K18" s="757">
        <v>15</v>
      </c>
      <c r="L18" s="732" t="s">
        <v>422</v>
      </c>
      <c r="M18" s="904">
        <v>91282757.252051607</v>
      </c>
      <c r="N18" s="944">
        <f t="shared" si="66"/>
        <v>4.1415854361385077E-2</v>
      </c>
      <c r="O18" s="753">
        <v>1647.5553979923125</v>
      </c>
      <c r="P18" s="948">
        <f t="shared" si="67"/>
        <v>55404.969910746237</v>
      </c>
      <c r="Q18" s="733">
        <f t="shared" si="68"/>
        <v>3.1378661900921208E-2</v>
      </c>
      <c r="R18" s="758" t="s">
        <v>397</v>
      </c>
      <c r="V18" s="730">
        <f t="shared" si="98"/>
        <v>15</v>
      </c>
      <c r="W18" s="731">
        <f t="shared" si="0"/>
        <v>15</v>
      </c>
      <c r="X18" s="732" t="s">
        <v>422</v>
      </c>
      <c r="Y18" s="924">
        <f t="shared" si="69"/>
        <v>3633416.6561455978</v>
      </c>
      <c r="Z18" s="944">
        <f t="shared" si="70"/>
        <v>4.3413411611030454E-2</v>
      </c>
      <c r="AD18" s="730">
        <v>15</v>
      </c>
      <c r="AE18" s="746">
        <v>15</v>
      </c>
      <c r="AF18" s="747" t="s">
        <v>422</v>
      </c>
      <c r="AG18" s="748">
        <v>3.79</v>
      </c>
      <c r="AQ18" s="730">
        <f t="shared" si="71"/>
        <v>15</v>
      </c>
      <c r="AR18" s="783">
        <f t="shared" si="1"/>
        <v>15</v>
      </c>
      <c r="AS18" s="732" t="s">
        <v>422</v>
      </c>
      <c r="AT18" s="732">
        <f t="shared" si="2"/>
        <v>3.79</v>
      </c>
      <c r="AU18" s="784">
        <f t="shared" si="72"/>
        <v>91282757.252051607</v>
      </c>
      <c r="AV18" s="784">
        <f t="shared" si="99"/>
        <v>96100.458329243207</v>
      </c>
      <c r="AW18" s="785">
        <f t="shared" si="3"/>
        <v>99460.251524388179</v>
      </c>
      <c r="AX18" s="786">
        <f t="shared" si="4"/>
        <v>18.336776074005567</v>
      </c>
      <c r="AY18" s="379">
        <f>AW18*AX18</f>
        <v>1823780.3604669769</v>
      </c>
      <c r="AZ18" s="51">
        <f t="shared" si="73"/>
        <v>5.0514948630367817E-2</v>
      </c>
      <c r="BA18" s="53">
        <f t="shared" si="5"/>
        <v>1.997946</v>
      </c>
      <c r="BL18" s="756">
        <f t="shared" si="100"/>
        <v>15</v>
      </c>
      <c r="BM18" s="758">
        <f t="shared" si="6"/>
        <v>15</v>
      </c>
      <c r="BN18" s="732" t="s">
        <v>422</v>
      </c>
      <c r="BO18" s="733">
        <f t="shared" si="7"/>
        <v>5.0514948630367817E-2</v>
      </c>
      <c r="BP18" s="379">
        <f t="shared" si="74"/>
        <v>396825.17645843833</v>
      </c>
      <c r="BQ18" s="733">
        <f t="shared" si="8"/>
        <v>4.1415854361385077E-2</v>
      </c>
      <c r="BR18" s="379">
        <f t="shared" si="75"/>
        <v>325346.34124627337</v>
      </c>
      <c r="BS18" s="807">
        <f t="shared" si="9"/>
        <v>722171.51770471176</v>
      </c>
      <c r="BT18" s="808">
        <f t="shared" si="10"/>
        <v>0.79113699999999998</v>
      </c>
      <c r="BW18" s="1"/>
      <c r="BX18" s="10"/>
      <c r="BY18" s="10"/>
      <c r="BZ18" s="10"/>
      <c r="CA18" s="10"/>
      <c r="CB18" s="10"/>
      <c r="CC18" s="10"/>
      <c r="CD18" s="10"/>
      <c r="CE18" s="10"/>
      <c r="CI18" s="730">
        <f t="shared" si="101"/>
        <v>15</v>
      </c>
      <c r="CJ18" s="746">
        <f t="shared" si="12"/>
        <v>15</v>
      </c>
      <c r="CK18" s="732" t="s">
        <v>422</v>
      </c>
      <c r="CL18" s="733">
        <f t="shared" si="13"/>
        <v>4.1415854361385077E-2</v>
      </c>
      <c r="CM18" s="379">
        <f t="shared" si="14"/>
        <v>221750.42921815411</v>
      </c>
      <c r="CN18" s="733">
        <f t="shared" si="15"/>
        <v>3.1378661900921208E-2</v>
      </c>
      <c r="CO18" s="379">
        <f t="shared" si="16"/>
        <v>546024.11016814306</v>
      </c>
      <c r="CP18" s="379">
        <f t="shared" si="17"/>
        <v>767774.53938629711</v>
      </c>
      <c r="CQ18" s="733">
        <f t="shared" si="18"/>
        <v>3.3740370068842188E-2</v>
      </c>
      <c r="CR18" s="808">
        <f t="shared" si="19"/>
        <v>0.84109500000000004</v>
      </c>
      <c r="DE18" s="1"/>
      <c r="DH18" s="730">
        <v>15</v>
      </c>
      <c r="DI18" s="840">
        <f t="shared" si="20"/>
        <v>15</v>
      </c>
      <c r="DJ18" s="732" t="s">
        <v>422</v>
      </c>
      <c r="DK18" s="733">
        <f t="shared" si="21"/>
        <v>3.3740370068842188E-2</v>
      </c>
      <c r="DL18" s="379">
        <f t="shared" si="77"/>
        <v>10659.529464029887</v>
      </c>
      <c r="DM18" s="733">
        <f t="shared" si="22"/>
        <v>3.1378661900921208E-2</v>
      </c>
      <c r="DN18" s="379">
        <f t="shared" si="23"/>
        <v>61351.670467594849</v>
      </c>
      <c r="DO18" s="733">
        <f t="shared" si="24"/>
        <v>4.1415854361385077E-2</v>
      </c>
      <c r="DP18" s="379">
        <f t="shared" si="25"/>
        <v>134821.87831669909</v>
      </c>
      <c r="DQ18" s="379">
        <f t="shared" si="78"/>
        <v>206833.07824832381</v>
      </c>
      <c r="DR18" s="733">
        <f t="shared" si="26"/>
        <v>3.7426015177335473E-2</v>
      </c>
      <c r="DS18" s="808">
        <f t="shared" si="27"/>
        <v>0.22658500000000001</v>
      </c>
      <c r="DW18" s="730">
        <f t="shared" si="102"/>
        <v>15</v>
      </c>
      <c r="DX18" s="840">
        <f t="shared" si="28"/>
        <v>15</v>
      </c>
      <c r="DY18" s="732" t="s">
        <v>422</v>
      </c>
      <c r="DZ18" s="733">
        <f t="shared" si="29"/>
        <v>3.1378661900921208E-2</v>
      </c>
      <c r="EA18" s="379">
        <f t="shared" si="30"/>
        <v>112857.16033928805</v>
      </c>
      <c r="EB18" s="808">
        <f t="shared" si="31"/>
        <v>0.12363499999999999</v>
      </c>
      <c r="EN18" s="730">
        <f t="shared" si="103"/>
        <v>15</v>
      </c>
      <c r="EO18" s="840">
        <f t="shared" si="32"/>
        <v>15</v>
      </c>
      <c r="EP18" s="732" t="s">
        <v>422</v>
      </c>
      <c r="EQ18" s="733">
        <f t="shared" si="33"/>
        <v>4.3413411611030454E-2</v>
      </c>
      <c r="ER18" s="379">
        <f t="shared" si="34"/>
        <v>310737.53051821701</v>
      </c>
      <c r="ES18" s="733">
        <f t="shared" si="35"/>
        <v>3.3740370068842188E-2</v>
      </c>
      <c r="ET18" s="379">
        <f t="shared" si="36"/>
        <v>32561.053841161764</v>
      </c>
      <c r="EU18" s="733">
        <f t="shared" si="37"/>
        <v>4.1415854361385077E-2</v>
      </c>
      <c r="EV18" s="379">
        <f t="shared" si="38"/>
        <v>107081.47193759347</v>
      </c>
      <c r="EW18" s="379">
        <f t="shared" si="39"/>
        <v>450380.05629697227</v>
      </c>
      <c r="EX18" s="733">
        <f t="shared" si="40"/>
        <v>4.2059341114443025E-2</v>
      </c>
      <c r="EY18" s="808">
        <f t="shared" si="41"/>
        <v>0.49339</v>
      </c>
      <c r="FI18" s="730">
        <f t="shared" si="104"/>
        <v>15</v>
      </c>
      <c r="FJ18" s="731">
        <f t="shared" si="42"/>
        <v>15</v>
      </c>
      <c r="FK18" s="732" t="s">
        <v>422</v>
      </c>
      <c r="FL18" s="733">
        <f t="shared" si="43"/>
        <v>4.3413411611030454E-2</v>
      </c>
      <c r="FM18" s="379">
        <f t="shared" si="44"/>
        <v>815895.53217643988</v>
      </c>
      <c r="FN18" s="808">
        <f t="shared" si="45"/>
        <v>0.89381100000000002</v>
      </c>
      <c r="FR18" s="730">
        <f t="shared" si="105"/>
        <v>15</v>
      </c>
      <c r="FS18" s="731">
        <v>15</v>
      </c>
      <c r="FT18" s="732" t="s">
        <v>422</v>
      </c>
      <c r="FU18" s="379">
        <f t="shared" si="46"/>
        <v>1823780.3604669769</v>
      </c>
      <c r="FV18" s="379">
        <f t="shared" si="47"/>
        <v>722171.51770471176</v>
      </c>
      <c r="FW18" s="379">
        <f t="shared" si="48"/>
        <v>767774.53938629711</v>
      </c>
      <c r="FX18" s="379">
        <f t="shared" si="49"/>
        <v>206833.07824832381</v>
      </c>
      <c r="FY18" s="379">
        <f t="shared" si="50"/>
        <v>112857.16033928805</v>
      </c>
      <c r="FZ18" s="379">
        <f t="shared" si="51"/>
        <v>450380.05629697227</v>
      </c>
      <c r="GA18" s="379">
        <f t="shared" si="52"/>
        <v>815895.53217643988</v>
      </c>
      <c r="GB18" s="379">
        <f t="shared" si="53"/>
        <v>4899692.24461901</v>
      </c>
      <c r="GC18" s="852">
        <f t="shared" si="54"/>
        <v>5.3675990000000002</v>
      </c>
      <c r="GG18" s="730">
        <f t="shared" si="79"/>
        <v>15</v>
      </c>
      <c r="GH18" s="731">
        <f t="shared" si="55"/>
        <v>15</v>
      </c>
      <c r="GI18" s="732" t="s">
        <v>422</v>
      </c>
      <c r="GJ18" s="808">
        <f t="shared" si="56"/>
        <v>1.997946</v>
      </c>
      <c r="GK18" s="808">
        <f t="shared" si="57"/>
        <v>0.79113699999999998</v>
      </c>
      <c r="GL18" s="808">
        <f t="shared" si="58"/>
        <v>0.84109500000000004</v>
      </c>
      <c r="GM18" s="808">
        <f t="shared" si="59"/>
        <v>0.22658500000000001</v>
      </c>
      <c r="GN18" s="808">
        <f t="shared" si="60"/>
        <v>0.12363499999999999</v>
      </c>
      <c r="GO18" s="808">
        <f t="shared" si="61"/>
        <v>0.49339</v>
      </c>
      <c r="GP18" s="808">
        <f t="shared" si="62"/>
        <v>0.89381100000000002</v>
      </c>
      <c r="GQ18" s="808">
        <f t="shared" si="63"/>
        <v>5.3675990000000002</v>
      </c>
      <c r="GR18" s="784">
        <f t="shared" si="80"/>
        <v>91282757.252051607</v>
      </c>
      <c r="GS18" s="716"/>
      <c r="GV18" s="717">
        <f t="shared" si="81"/>
        <v>15</v>
      </c>
      <c r="GW18" s="731">
        <v>15</v>
      </c>
      <c r="GX18" s="732" t="s">
        <v>422</v>
      </c>
      <c r="GY18" s="758" t="s">
        <v>397</v>
      </c>
      <c r="GZ18" s="906">
        <f t="shared" si="82"/>
        <v>4899692.24461901</v>
      </c>
      <c r="HA18" s="784">
        <f t="shared" si="83"/>
        <v>91282757.252051607</v>
      </c>
      <c r="HB18" s="922">
        <f t="shared" si="109"/>
        <v>5.3675990000000002</v>
      </c>
      <c r="HC18" s="942">
        <f t="shared" si="85"/>
        <v>4899692.3654335495</v>
      </c>
      <c r="HD18" s="857">
        <v>-0.15500812418758869</v>
      </c>
      <c r="HE18" s="54"/>
      <c r="HH18" s="54"/>
      <c r="HI18" s="54"/>
      <c r="HJ18" s="54"/>
      <c r="HK18" s="54"/>
      <c r="HL18" s="54"/>
      <c r="HM18" s="54"/>
      <c r="HN18" s="54"/>
      <c r="HQ18" s="730">
        <v>15</v>
      </c>
      <c r="HR18" s="867">
        <v>15</v>
      </c>
      <c r="HS18" s="732" t="s">
        <v>422</v>
      </c>
      <c r="HT18" s="784">
        <f t="shared" si="86"/>
        <v>91282757.252051607</v>
      </c>
      <c r="HU18" s="917">
        <f t="shared" si="87"/>
        <v>5.3675990000000002</v>
      </c>
      <c r="HV18" s="868"/>
      <c r="HW18" s="765"/>
      <c r="HX18" s="868">
        <v>-1.348795</v>
      </c>
      <c r="HY18" s="766">
        <v>10</v>
      </c>
      <c r="IP18" s="730">
        <v>15</v>
      </c>
      <c r="IQ18" s="867">
        <v>15</v>
      </c>
      <c r="IR18" s="732" t="s">
        <v>422</v>
      </c>
      <c r="IS18" s="913">
        <f t="shared" si="106"/>
        <v>4899692.3654335495</v>
      </c>
      <c r="IT18" s="915">
        <f t="shared" si="88"/>
        <v>91282757.252051607</v>
      </c>
      <c r="IU18" s="918">
        <f t="shared" si="89"/>
        <v>5.3675990000000002</v>
      </c>
      <c r="IV18" s="904">
        <f t="shared" ref="IV18:IV22" si="114">IT18*$IK$4/(1-$IL$4)</f>
        <v>13345298.613439368</v>
      </c>
      <c r="IW18" s="904">
        <f t="shared" si="91"/>
        <v>77937458.638612241</v>
      </c>
      <c r="IX18" s="913">
        <f t="shared" ref="IX18:IX22" si="115">IV18*$II$4</f>
        <v>200179.47920159053</v>
      </c>
      <c r="IY18" s="881">
        <f t="shared" si="93"/>
        <v>4699512.8862319589</v>
      </c>
      <c r="IZ18" s="928">
        <f t="shared" ref="IZ18:IZ22" si="116">100*IY18/IT18</f>
        <v>5.1483029519535419</v>
      </c>
      <c r="JA18" s="928">
        <f t="shared" ref="JA18:JA22" si="117">IZ18+1.5</f>
        <v>6.6483029519535419</v>
      </c>
      <c r="JB18" s="913">
        <f t="shared" si="107"/>
        <v>4899692.3654335495</v>
      </c>
      <c r="JC18" s="852">
        <v>0.2222329163183332</v>
      </c>
      <c r="JG18" s="730">
        <v>15</v>
      </c>
      <c r="JH18" s="867">
        <v>15</v>
      </c>
      <c r="JI18" s="732" t="s">
        <v>422</v>
      </c>
      <c r="JJ18" s="784">
        <f t="shared" si="96"/>
        <v>91282757.252051607</v>
      </c>
      <c r="JK18" s="917">
        <f t="shared" si="97"/>
        <v>5.1483029519535419</v>
      </c>
      <c r="JL18" s="868">
        <v>6.5359999999999996</v>
      </c>
      <c r="JM18" s="765"/>
      <c r="JN18" s="868"/>
      <c r="JO18" s="766">
        <v>10</v>
      </c>
      <c r="JT18" s="936">
        <v>15.047708926540258</v>
      </c>
      <c r="JU18" s="936">
        <f t="shared" si="64"/>
        <v>-2.9197458671603727E-4</v>
      </c>
      <c r="JV18" s="13">
        <v>10481200</v>
      </c>
      <c r="JW18" s="13">
        <f t="shared" si="65"/>
        <v>269604.69039089233</v>
      </c>
    </row>
    <row r="19" spans="3:294" x14ac:dyDescent="0.3">
      <c r="C19" s="3"/>
      <c r="J19" s="338">
        <v>16</v>
      </c>
      <c r="K19" s="759">
        <v>16</v>
      </c>
      <c r="L19" s="518" t="s">
        <v>423</v>
      </c>
      <c r="M19" s="904">
        <v>10750804.690390892</v>
      </c>
      <c r="N19" s="943">
        <f t="shared" si="66"/>
        <v>4.8777422453999946E-3</v>
      </c>
      <c r="O19" s="455">
        <v>286.98366108420379</v>
      </c>
      <c r="P19" s="948">
        <f t="shared" si="67"/>
        <v>37461.382469563316</v>
      </c>
      <c r="Q19" s="659">
        <f t="shared" si="68"/>
        <v>2.1216292631277625E-2</v>
      </c>
      <c r="R19" s="322" t="s">
        <v>397</v>
      </c>
      <c r="V19" s="734">
        <f t="shared" si="98"/>
        <v>16</v>
      </c>
      <c r="W19" s="735">
        <f t="shared" si="0"/>
        <v>16</v>
      </c>
      <c r="X19" s="518" t="s">
        <v>423</v>
      </c>
      <c r="Y19" s="924">
        <f t="shared" si="69"/>
        <v>1230401.1465684022</v>
      </c>
      <c r="Z19" s="943">
        <f t="shared" si="70"/>
        <v>1.4701289854085312E-2</v>
      </c>
      <c r="AD19" s="734">
        <v>16</v>
      </c>
      <c r="AE19" s="146">
        <v>16</v>
      </c>
      <c r="AF19" s="347" t="s">
        <v>423</v>
      </c>
      <c r="AG19" s="369">
        <v>9.5299999999999994</v>
      </c>
      <c r="AQ19" s="734">
        <f t="shared" si="71"/>
        <v>16</v>
      </c>
      <c r="AR19" s="787">
        <f t="shared" si="1"/>
        <v>16</v>
      </c>
      <c r="AS19" s="518" t="s">
        <v>423</v>
      </c>
      <c r="AT19" s="518">
        <f t="shared" si="2"/>
        <v>9.5299999999999994</v>
      </c>
      <c r="AU19" s="788">
        <f t="shared" si="72"/>
        <v>10750804.690390892</v>
      </c>
      <c r="AV19" s="788">
        <f t="shared" si="99"/>
        <v>28459.769083173665</v>
      </c>
      <c r="AW19" s="789">
        <f t="shared" si="3"/>
        <v>29454.758494914564</v>
      </c>
      <c r="AX19" s="790">
        <f t="shared" si="4"/>
        <v>18.336776074005567</v>
      </c>
      <c r="AY19" s="358">
        <f t="shared" si="108"/>
        <v>540105.3108351616</v>
      </c>
      <c r="AZ19" s="35">
        <f t="shared" si="73"/>
        <v>1.4959801423040408E-2</v>
      </c>
      <c r="BA19" s="55">
        <f t="shared" si="5"/>
        <v>5.0238589999999999</v>
      </c>
      <c r="BL19" s="338">
        <f t="shared" si="100"/>
        <v>16</v>
      </c>
      <c r="BM19" s="322">
        <f t="shared" si="6"/>
        <v>16</v>
      </c>
      <c r="BN19" s="518" t="s">
        <v>423</v>
      </c>
      <c r="BO19" s="659">
        <f t="shared" si="7"/>
        <v>1.4959801423040408E-2</v>
      </c>
      <c r="BP19" s="358">
        <f t="shared" si="74"/>
        <v>117518.20006627575</v>
      </c>
      <c r="BQ19" s="659">
        <f t="shared" si="8"/>
        <v>4.8777422453999946E-3</v>
      </c>
      <c r="BR19" s="358">
        <f t="shared" si="75"/>
        <v>38317.586768484027</v>
      </c>
      <c r="BS19" s="809">
        <f t="shared" si="9"/>
        <v>155835.78683475978</v>
      </c>
      <c r="BT19" s="810">
        <f t="shared" si="10"/>
        <v>1.449527</v>
      </c>
      <c r="BW19" s="1"/>
      <c r="BX19" s="10"/>
      <c r="BY19" s="10"/>
      <c r="BZ19" s="10"/>
      <c r="CA19" s="10"/>
      <c r="CB19" s="10"/>
      <c r="CC19" s="10"/>
      <c r="CD19" s="10"/>
      <c r="CE19" s="10"/>
      <c r="CI19" s="734">
        <f t="shared" si="101"/>
        <v>16</v>
      </c>
      <c r="CJ19" s="146">
        <f t="shared" si="12"/>
        <v>16</v>
      </c>
      <c r="CK19" s="518" t="s">
        <v>423</v>
      </c>
      <c r="CL19" s="344">
        <f t="shared" si="13"/>
        <v>4.8777422453999946E-3</v>
      </c>
      <c r="CM19" s="20">
        <f t="shared" si="14"/>
        <v>26116.603247993411</v>
      </c>
      <c r="CN19" s="344">
        <f t="shared" si="15"/>
        <v>2.1216292631277625E-2</v>
      </c>
      <c r="CO19" s="20">
        <f t="shared" si="16"/>
        <v>369187.42238400545</v>
      </c>
      <c r="CP19" s="20">
        <f t="shared" si="17"/>
        <v>395304.02563199884</v>
      </c>
      <c r="CQ19" s="344">
        <f t="shared" si="18"/>
        <v>1.7371902075820206E-2</v>
      </c>
      <c r="CR19" s="342">
        <f t="shared" si="19"/>
        <v>3.6769720000000001</v>
      </c>
      <c r="DE19" s="1"/>
      <c r="DH19" s="734">
        <v>16</v>
      </c>
      <c r="DI19" s="745">
        <f t="shared" si="20"/>
        <v>16</v>
      </c>
      <c r="DJ19" s="518" t="s">
        <v>423</v>
      </c>
      <c r="DK19" s="344">
        <f t="shared" si="21"/>
        <v>1.7371902075820206E-2</v>
      </c>
      <c r="DL19" s="20">
        <f t="shared" si="77"/>
        <v>5488.2712206660099</v>
      </c>
      <c r="DM19" s="344">
        <f t="shared" si="22"/>
        <v>2.1216292631277625E-2</v>
      </c>
      <c r="DN19" s="20">
        <f t="shared" si="23"/>
        <v>41482.170213892772</v>
      </c>
      <c r="DO19" s="344">
        <f t="shared" si="24"/>
        <v>4.8777422453999946E-3</v>
      </c>
      <c r="DP19" s="20">
        <f t="shared" si="25"/>
        <v>15878.614158994438</v>
      </c>
      <c r="DQ19" s="20">
        <f t="shared" si="78"/>
        <v>62849.055593553217</v>
      </c>
      <c r="DR19" s="344">
        <f t="shared" si="26"/>
        <v>1.1372405847489657E-2</v>
      </c>
      <c r="DS19" s="342">
        <f t="shared" si="27"/>
        <v>0.58459899999999998</v>
      </c>
      <c r="DW19" s="734">
        <f t="shared" si="102"/>
        <v>16</v>
      </c>
      <c r="DX19" s="745">
        <f t="shared" si="28"/>
        <v>16</v>
      </c>
      <c r="DY19" s="518" t="s">
        <v>423</v>
      </c>
      <c r="DZ19" s="344">
        <f t="shared" si="29"/>
        <v>2.1216292631277625E-2</v>
      </c>
      <c r="EA19" s="20">
        <f t="shared" si="30"/>
        <v>76306.967672928717</v>
      </c>
      <c r="EB19" s="342">
        <f t="shared" si="31"/>
        <v>0.70977900000000005</v>
      </c>
      <c r="EN19" s="734">
        <f t="shared" si="103"/>
        <v>16</v>
      </c>
      <c r="EO19" s="745">
        <f t="shared" si="32"/>
        <v>16</v>
      </c>
      <c r="EP19" s="518" t="s">
        <v>423</v>
      </c>
      <c r="EQ19" s="344">
        <f t="shared" si="33"/>
        <v>1.4701289854085312E-2</v>
      </c>
      <c r="ER19" s="20">
        <f t="shared" si="34"/>
        <v>105226.52643890103</v>
      </c>
      <c r="ES19" s="344">
        <f t="shared" si="35"/>
        <v>1.7371902075820206E-2</v>
      </c>
      <c r="ET19" s="20">
        <f t="shared" si="36"/>
        <v>16764.707608720724</v>
      </c>
      <c r="EU19" s="344">
        <f t="shared" si="37"/>
        <v>4.8777422453999946E-3</v>
      </c>
      <c r="EV19" s="20">
        <f t="shared" si="38"/>
        <v>12611.494497059211</v>
      </c>
      <c r="EW19" s="20">
        <f t="shared" si="39"/>
        <v>134602.72854468095</v>
      </c>
      <c r="EX19" s="344">
        <f t="shared" si="40"/>
        <v>1.257005499165033E-2</v>
      </c>
      <c r="EY19" s="342">
        <f t="shared" si="41"/>
        <v>1.2520249999999999</v>
      </c>
      <c r="FI19" s="734">
        <f t="shared" si="104"/>
        <v>16</v>
      </c>
      <c r="FJ19" s="735">
        <f t="shared" si="42"/>
        <v>16</v>
      </c>
      <c r="FK19" s="518" t="s">
        <v>423</v>
      </c>
      <c r="FL19" s="344">
        <f t="shared" si="43"/>
        <v>1.4701289854085312E-2</v>
      </c>
      <c r="FM19" s="20">
        <f t="shared" si="44"/>
        <v>276290.58081515576</v>
      </c>
      <c r="FN19" s="342">
        <f t="shared" si="45"/>
        <v>2.5699529999999999</v>
      </c>
      <c r="FR19" s="734">
        <f t="shared" si="105"/>
        <v>16</v>
      </c>
      <c r="FS19" s="735">
        <v>16</v>
      </c>
      <c r="FT19" s="518" t="s">
        <v>423</v>
      </c>
      <c r="FU19" s="20">
        <f t="shared" si="46"/>
        <v>540105.3108351616</v>
      </c>
      <c r="FV19" s="20">
        <f t="shared" si="47"/>
        <v>155835.78683475978</v>
      </c>
      <c r="FW19" s="20">
        <f t="shared" si="48"/>
        <v>395304.02563199884</v>
      </c>
      <c r="FX19" s="20">
        <f t="shared" si="49"/>
        <v>62849.055593553217</v>
      </c>
      <c r="FY19" s="20">
        <f t="shared" si="50"/>
        <v>76306.967672928717</v>
      </c>
      <c r="FZ19" s="20">
        <f t="shared" si="51"/>
        <v>134602.72854468095</v>
      </c>
      <c r="GA19" s="20">
        <f t="shared" si="52"/>
        <v>276290.58081515576</v>
      </c>
      <c r="GB19" s="20">
        <f t="shared" si="53"/>
        <v>1641294.4559282388</v>
      </c>
      <c r="GC19" s="414">
        <f t="shared" si="54"/>
        <v>15.266712999999999</v>
      </c>
      <c r="GG19" s="734">
        <f t="shared" si="79"/>
        <v>16</v>
      </c>
      <c r="GH19" s="735">
        <f t="shared" si="55"/>
        <v>16</v>
      </c>
      <c r="GI19" s="518" t="s">
        <v>423</v>
      </c>
      <c r="GJ19" s="342">
        <f t="shared" si="56"/>
        <v>5.0238589999999999</v>
      </c>
      <c r="GK19" s="342">
        <f t="shared" si="57"/>
        <v>1.449527</v>
      </c>
      <c r="GL19" s="342">
        <f t="shared" si="58"/>
        <v>3.6769720000000001</v>
      </c>
      <c r="GM19" s="342">
        <f t="shared" si="59"/>
        <v>0.58459899999999998</v>
      </c>
      <c r="GN19" s="342">
        <f t="shared" si="60"/>
        <v>0.70977900000000005</v>
      </c>
      <c r="GO19" s="342">
        <f t="shared" si="61"/>
        <v>1.2520249999999999</v>
      </c>
      <c r="GP19" s="342">
        <f t="shared" si="62"/>
        <v>2.5699529999999999</v>
      </c>
      <c r="GQ19" s="342">
        <f t="shared" si="63"/>
        <v>15.266712999999999</v>
      </c>
      <c r="GR19" s="788">
        <f t="shared" si="80"/>
        <v>10750804.690390892</v>
      </c>
      <c r="GS19" s="716"/>
      <c r="GV19" s="718">
        <f t="shared" si="81"/>
        <v>16</v>
      </c>
      <c r="GW19" s="735">
        <v>16</v>
      </c>
      <c r="GX19" s="518" t="s">
        <v>423</v>
      </c>
      <c r="GY19" s="322" t="s">
        <v>397</v>
      </c>
      <c r="GZ19" s="924">
        <f t="shared" si="82"/>
        <v>1641294.4559282388</v>
      </c>
      <c r="HA19" s="788">
        <f t="shared" si="83"/>
        <v>10750804.690390892</v>
      </c>
      <c r="HB19" s="922">
        <f t="shared" si="109"/>
        <v>15.266712999999999</v>
      </c>
      <c r="HC19" s="942">
        <f t="shared" si="85"/>
        <v>1641294.4972725159</v>
      </c>
      <c r="HD19" s="858">
        <v>4.8506769118830562E-2</v>
      </c>
      <c r="HE19" s="54"/>
      <c r="HH19" s="54"/>
      <c r="HI19" s="54"/>
      <c r="HJ19" s="54"/>
      <c r="HK19" s="54"/>
      <c r="HL19" s="54"/>
      <c r="HM19" s="54"/>
      <c r="HN19" s="54"/>
      <c r="HQ19" s="734">
        <v>16</v>
      </c>
      <c r="HR19" s="869">
        <v>16</v>
      </c>
      <c r="HS19" s="518" t="s">
        <v>423</v>
      </c>
      <c r="HT19" s="788">
        <f t="shared" si="86"/>
        <v>10750804.690390892</v>
      </c>
      <c r="HU19" s="917">
        <f t="shared" si="87"/>
        <v>15.266712999999999</v>
      </c>
      <c r="HV19" s="870"/>
      <c r="HW19" s="768"/>
      <c r="HX19" s="870">
        <v>-2.936674</v>
      </c>
      <c r="HY19" s="769">
        <v>25</v>
      </c>
      <c r="IP19" s="734">
        <v>16</v>
      </c>
      <c r="IQ19" s="869">
        <v>16</v>
      </c>
      <c r="IR19" s="518" t="s">
        <v>423</v>
      </c>
      <c r="IS19" s="913">
        <f t="shared" si="106"/>
        <v>1641294.4972725159</v>
      </c>
      <c r="IT19" s="915">
        <f t="shared" si="88"/>
        <v>10750804.690390892</v>
      </c>
      <c r="IU19" s="919">
        <f t="shared" si="89"/>
        <v>15.266712999999999</v>
      </c>
      <c r="IV19" s="904">
        <f t="shared" si="114"/>
        <v>1571739.3212813633</v>
      </c>
      <c r="IW19" s="904">
        <f t="shared" si="91"/>
        <v>9179065.36910953</v>
      </c>
      <c r="IX19" s="913">
        <f t="shared" si="115"/>
        <v>23576.089819220448</v>
      </c>
      <c r="IY19" s="882">
        <f t="shared" si="93"/>
        <v>1617718.4074532955</v>
      </c>
      <c r="IZ19" s="928">
        <f t="shared" si="116"/>
        <v>15.047416951953542</v>
      </c>
      <c r="JA19" s="928">
        <f t="shared" si="117"/>
        <v>16.547416951953544</v>
      </c>
      <c r="JB19" s="913">
        <f t="shared" si="107"/>
        <v>1641294.4972725161</v>
      </c>
      <c r="JC19" s="883">
        <v>0.22223353732126583</v>
      </c>
      <c r="JG19" s="734">
        <v>16</v>
      </c>
      <c r="JH19" s="869">
        <v>16</v>
      </c>
      <c r="JI19" s="518" t="s">
        <v>423</v>
      </c>
      <c r="JJ19" s="788">
        <f t="shared" si="96"/>
        <v>10750804.690390892</v>
      </c>
      <c r="JK19" s="917">
        <f t="shared" si="97"/>
        <v>15.047416951953542</v>
      </c>
      <c r="JL19" s="870">
        <v>18.120999999999999</v>
      </c>
      <c r="JM19" s="768"/>
      <c r="JN19" s="870"/>
      <c r="JO19" s="769">
        <v>25</v>
      </c>
      <c r="JT19" s="936">
        <v>4.4647209265402585</v>
      </c>
      <c r="JU19" s="936">
        <f t="shared" si="64"/>
        <v>-9.1974586716503381E-5</v>
      </c>
      <c r="JV19" s="13">
        <v>538975887</v>
      </c>
      <c r="JW19" s="13">
        <f t="shared" si="65"/>
        <v>3998984.3983106613</v>
      </c>
    </row>
    <row r="20" spans="3:294" x14ac:dyDescent="0.3">
      <c r="J20" s="756">
        <v>17</v>
      </c>
      <c r="K20" s="757">
        <v>17</v>
      </c>
      <c r="L20" s="732" t="s">
        <v>424</v>
      </c>
      <c r="M20" s="904">
        <v>542974871.39831066</v>
      </c>
      <c r="N20" s="944">
        <f t="shared" si="66"/>
        <v>0.246352858663445</v>
      </c>
      <c r="O20" s="753">
        <v>1278.7476178425782</v>
      </c>
      <c r="P20" s="948">
        <f t="shared" si="67"/>
        <v>424614.57118049881</v>
      </c>
      <c r="Q20" s="733">
        <f t="shared" si="68"/>
        <v>0.24048090069792186</v>
      </c>
      <c r="R20" s="758" t="s">
        <v>397</v>
      </c>
      <c r="V20" s="730">
        <f t="shared" si="98"/>
        <v>17</v>
      </c>
      <c r="W20" s="731">
        <f t="shared" si="0"/>
        <v>17</v>
      </c>
      <c r="X20" s="732" t="s">
        <v>424</v>
      </c>
      <c r="Y20" s="924">
        <f t="shared" si="69"/>
        <v>18748674.429264888</v>
      </c>
      <c r="Z20" s="944">
        <f t="shared" si="70"/>
        <v>0.22401612509321359</v>
      </c>
      <c r="AD20" s="730">
        <v>17</v>
      </c>
      <c r="AE20" s="746">
        <v>17</v>
      </c>
      <c r="AF20" s="747" t="s">
        <v>424</v>
      </c>
      <c r="AG20" s="748">
        <v>2.61</v>
      </c>
      <c r="AQ20" s="730">
        <f t="shared" si="71"/>
        <v>17</v>
      </c>
      <c r="AR20" s="783">
        <f t="shared" si="1"/>
        <v>17</v>
      </c>
      <c r="AS20" s="732" t="s">
        <v>424</v>
      </c>
      <c r="AT20" s="732">
        <f t="shared" si="2"/>
        <v>2.61</v>
      </c>
      <c r="AU20" s="784">
        <f t="shared" si="72"/>
        <v>542974871.39831066</v>
      </c>
      <c r="AV20" s="784">
        <f t="shared" si="99"/>
        <v>393656.78176377522</v>
      </c>
      <c r="AW20" s="785">
        <f t="shared" si="3"/>
        <v>407419.51921151258</v>
      </c>
      <c r="AX20" s="786">
        <f t="shared" si="4"/>
        <v>18.336776074005567</v>
      </c>
      <c r="AY20" s="379">
        <f t="shared" si="108"/>
        <v>7470760.4919605153</v>
      </c>
      <c r="AZ20" s="51">
        <f t="shared" si="73"/>
        <v>0.20692463339419764</v>
      </c>
      <c r="BA20" s="53">
        <f t="shared" si="5"/>
        <v>1.375894</v>
      </c>
      <c r="BL20" s="756">
        <f t="shared" si="100"/>
        <v>17</v>
      </c>
      <c r="BM20" s="758">
        <f t="shared" si="6"/>
        <v>17</v>
      </c>
      <c r="BN20" s="732" t="s">
        <v>424</v>
      </c>
      <c r="BO20" s="733">
        <f t="shared" si="7"/>
        <v>0.20692463339419764</v>
      </c>
      <c r="BP20" s="379">
        <f t="shared" si="74"/>
        <v>1625516.9288816566</v>
      </c>
      <c r="BQ20" s="733">
        <f t="shared" si="8"/>
        <v>0.246352858663445</v>
      </c>
      <c r="BR20" s="379">
        <f t="shared" si="75"/>
        <v>1935249.2531565793</v>
      </c>
      <c r="BS20" s="807">
        <f t="shared" si="9"/>
        <v>3560766.1820382359</v>
      </c>
      <c r="BT20" s="808">
        <f t="shared" si="10"/>
        <v>0.65578800000000004</v>
      </c>
      <c r="BW20" s="1"/>
      <c r="BX20" s="10"/>
      <c r="BY20" s="10"/>
      <c r="BZ20" s="10"/>
      <c r="CA20" s="10"/>
      <c r="CB20" s="10"/>
      <c r="CC20" s="10"/>
      <c r="CD20" s="10"/>
      <c r="CE20" s="10"/>
      <c r="CI20" s="730">
        <f t="shared" si="101"/>
        <v>17</v>
      </c>
      <c r="CJ20" s="746">
        <f t="shared" si="12"/>
        <v>17</v>
      </c>
      <c r="CK20" s="732" t="s">
        <v>424</v>
      </c>
      <c r="CL20" s="733">
        <f t="shared" si="13"/>
        <v>0.246352858663445</v>
      </c>
      <c r="CM20" s="379">
        <f t="shared" si="14"/>
        <v>1319032.3606766523</v>
      </c>
      <c r="CN20" s="733">
        <f t="shared" si="15"/>
        <v>0.24048090069792186</v>
      </c>
      <c r="CO20" s="379">
        <f t="shared" si="16"/>
        <v>4184638.9189770212</v>
      </c>
      <c r="CP20" s="379">
        <f t="shared" si="17"/>
        <v>5503671.279653674</v>
      </c>
      <c r="CQ20" s="733">
        <f t="shared" si="18"/>
        <v>0.2418625471238014</v>
      </c>
      <c r="CR20" s="808">
        <f t="shared" si="19"/>
        <v>1.013614</v>
      </c>
      <c r="DE20" s="1"/>
      <c r="DH20" s="730">
        <v>17</v>
      </c>
      <c r="DI20" s="840">
        <f t="shared" si="20"/>
        <v>17</v>
      </c>
      <c r="DJ20" s="732" t="s">
        <v>424</v>
      </c>
      <c r="DK20" s="733">
        <f t="shared" si="21"/>
        <v>0.2418625471238014</v>
      </c>
      <c r="DL20" s="379">
        <f t="shared" si="77"/>
        <v>76411.163898059385</v>
      </c>
      <c r="DM20" s="733">
        <f t="shared" si="22"/>
        <v>0.24048090069792186</v>
      </c>
      <c r="DN20" s="379">
        <f t="shared" si="23"/>
        <v>470189.10557611001</v>
      </c>
      <c r="DO20" s="733">
        <f t="shared" si="24"/>
        <v>0.246352858663445</v>
      </c>
      <c r="DP20" s="379">
        <f t="shared" si="25"/>
        <v>801957.50264810363</v>
      </c>
      <c r="DQ20" s="379">
        <f t="shared" si="78"/>
        <v>1348557.772122273</v>
      </c>
      <c r="DR20" s="733">
        <f t="shared" si="26"/>
        <v>0.24401872309015407</v>
      </c>
      <c r="DS20" s="808">
        <f t="shared" si="27"/>
        <v>0.248365</v>
      </c>
      <c r="DW20" s="730">
        <f t="shared" si="102"/>
        <v>17</v>
      </c>
      <c r="DX20" s="840">
        <f t="shared" si="28"/>
        <v>17</v>
      </c>
      <c r="DY20" s="732" t="s">
        <v>424</v>
      </c>
      <c r="DZ20" s="733">
        <f t="shared" si="29"/>
        <v>0.24048090069792186</v>
      </c>
      <c r="EA20" s="379">
        <f t="shared" si="30"/>
        <v>864918.70349018939</v>
      </c>
      <c r="EB20" s="808">
        <f t="shared" si="31"/>
        <v>0.15929299999999999</v>
      </c>
      <c r="EN20" s="730">
        <f t="shared" si="103"/>
        <v>17</v>
      </c>
      <c r="EO20" s="840">
        <f t="shared" si="32"/>
        <v>17</v>
      </c>
      <c r="EP20" s="732" t="s">
        <v>424</v>
      </c>
      <c r="EQ20" s="733">
        <f t="shared" si="33"/>
        <v>0.22401612509321359</v>
      </c>
      <c r="ER20" s="379">
        <f t="shared" si="34"/>
        <v>1603426.5662281802</v>
      </c>
      <c r="ES20" s="733">
        <f t="shared" si="35"/>
        <v>0.2418625471238014</v>
      </c>
      <c r="ET20" s="379">
        <f t="shared" si="36"/>
        <v>233408.80384507487</v>
      </c>
      <c r="EU20" s="733">
        <f t="shared" si="37"/>
        <v>0.246352858663445</v>
      </c>
      <c r="EV20" s="379">
        <f t="shared" si="38"/>
        <v>636949.95862046944</v>
      </c>
      <c r="EW20" s="379">
        <f t="shared" si="39"/>
        <v>2473785.3286937247</v>
      </c>
      <c r="EX20" s="733">
        <f t="shared" si="40"/>
        <v>0.23101773608471698</v>
      </c>
      <c r="EY20" s="808">
        <f t="shared" si="41"/>
        <v>0.455598</v>
      </c>
      <c r="FI20" s="730">
        <f t="shared" si="104"/>
        <v>17</v>
      </c>
      <c r="FJ20" s="731">
        <f t="shared" si="42"/>
        <v>17</v>
      </c>
      <c r="FK20" s="732" t="s">
        <v>424</v>
      </c>
      <c r="FL20" s="733">
        <f t="shared" si="43"/>
        <v>0.22401612509321359</v>
      </c>
      <c r="FM20" s="379">
        <f t="shared" si="44"/>
        <v>4210075.8456078665</v>
      </c>
      <c r="FN20" s="808">
        <f t="shared" si="45"/>
        <v>0.77537199999999995</v>
      </c>
      <c r="FR20" s="730">
        <f t="shared" si="105"/>
        <v>17</v>
      </c>
      <c r="FS20" s="731">
        <v>17</v>
      </c>
      <c r="FT20" s="732" t="s">
        <v>424</v>
      </c>
      <c r="FU20" s="379">
        <f t="shared" si="46"/>
        <v>7470760.4919605153</v>
      </c>
      <c r="FV20" s="379">
        <f t="shared" si="47"/>
        <v>3560766.1820382359</v>
      </c>
      <c r="FW20" s="379">
        <f t="shared" si="48"/>
        <v>5503671.279653674</v>
      </c>
      <c r="FX20" s="379">
        <f t="shared" si="49"/>
        <v>1348557.772122273</v>
      </c>
      <c r="FY20" s="379">
        <f t="shared" si="50"/>
        <v>864918.70349018939</v>
      </c>
      <c r="FZ20" s="379">
        <f t="shared" si="51"/>
        <v>2473785.3286937247</v>
      </c>
      <c r="GA20" s="379">
        <f t="shared" si="52"/>
        <v>4210075.8456078665</v>
      </c>
      <c r="GB20" s="379">
        <f t="shared" si="53"/>
        <v>25432535.603566479</v>
      </c>
      <c r="GC20" s="852">
        <f t="shared" si="54"/>
        <v>4.6839250000000003</v>
      </c>
      <c r="GG20" s="730">
        <f t="shared" si="79"/>
        <v>17</v>
      </c>
      <c r="GH20" s="731">
        <f t="shared" si="55"/>
        <v>17</v>
      </c>
      <c r="GI20" s="732" t="s">
        <v>424</v>
      </c>
      <c r="GJ20" s="808">
        <f t="shared" si="56"/>
        <v>1.375894</v>
      </c>
      <c r="GK20" s="808">
        <f t="shared" si="57"/>
        <v>0.65578800000000004</v>
      </c>
      <c r="GL20" s="808">
        <f t="shared" si="58"/>
        <v>1.013614</v>
      </c>
      <c r="GM20" s="808">
        <f t="shared" si="59"/>
        <v>0.248365</v>
      </c>
      <c r="GN20" s="808">
        <f t="shared" si="60"/>
        <v>0.15929299999999999</v>
      </c>
      <c r="GO20" s="808">
        <f t="shared" si="61"/>
        <v>0.455598</v>
      </c>
      <c r="GP20" s="808">
        <f t="shared" si="62"/>
        <v>0.77537199999999995</v>
      </c>
      <c r="GQ20" s="808">
        <f t="shared" si="63"/>
        <v>4.6839250000000003</v>
      </c>
      <c r="GR20" s="784">
        <f t="shared" si="80"/>
        <v>542974871.39831066</v>
      </c>
      <c r="GS20" s="716"/>
      <c r="GV20" s="717">
        <f t="shared" si="81"/>
        <v>17</v>
      </c>
      <c r="GW20" s="731">
        <v>17</v>
      </c>
      <c r="GX20" s="732" t="s">
        <v>424</v>
      </c>
      <c r="GY20" s="758" t="s">
        <v>397</v>
      </c>
      <c r="GZ20" s="906">
        <f t="shared" si="82"/>
        <v>25432535.603566479</v>
      </c>
      <c r="HA20" s="784">
        <f t="shared" si="83"/>
        <v>542974871.39831066</v>
      </c>
      <c r="HB20" s="922">
        <f t="shared" si="109"/>
        <v>4.6839250000000003</v>
      </c>
      <c r="HC20" s="942">
        <f t="shared" si="85"/>
        <v>25432535.745143324</v>
      </c>
      <c r="HD20" s="857">
        <v>0.65198250114917755</v>
      </c>
      <c r="HE20" s="54"/>
      <c r="HH20" s="54"/>
      <c r="HI20" s="54"/>
      <c r="HJ20" s="54"/>
      <c r="HK20" s="54"/>
      <c r="HL20" s="54"/>
      <c r="HM20" s="54"/>
      <c r="HN20" s="54"/>
      <c r="HQ20" s="730">
        <v>17</v>
      </c>
      <c r="HR20" s="867">
        <v>17</v>
      </c>
      <c r="HS20" s="732" t="s">
        <v>424</v>
      </c>
      <c r="HT20" s="784">
        <f t="shared" si="86"/>
        <v>542974871.39831066</v>
      </c>
      <c r="HU20" s="917">
        <f t="shared" si="87"/>
        <v>4.6839250000000003</v>
      </c>
      <c r="HV20" s="868"/>
      <c r="HW20" s="765"/>
      <c r="HX20" s="868">
        <v>-0.96015999999999924</v>
      </c>
      <c r="HY20" s="766">
        <v>10</v>
      </c>
      <c r="IP20" s="730">
        <v>17</v>
      </c>
      <c r="IQ20" s="867">
        <v>17</v>
      </c>
      <c r="IR20" s="732" t="s">
        <v>424</v>
      </c>
      <c r="IS20" s="913">
        <f t="shared" si="106"/>
        <v>25432535.745143324</v>
      </c>
      <c r="IT20" s="915">
        <f t="shared" si="88"/>
        <v>542974871.39831066</v>
      </c>
      <c r="IU20" s="918">
        <f t="shared" si="89"/>
        <v>4.6839250000000003</v>
      </c>
      <c r="IV20" s="904">
        <f t="shared" si="114"/>
        <v>79381495.657455444</v>
      </c>
      <c r="IW20" s="904">
        <f t="shared" si="91"/>
        <v>463593375.74085522</v>
      </c>
      <c r="IX20" s="913">
        <f t="shared" si="115"/>
        <v>1190722.4348618316</v>
      </c>
      <c r="IY20" s="881">
        <f t="shared" si="93"/>
        <v>24241813.310281493</v>
      </c>
      <c r="IZ20" s="928">
        <f t="shared" si="116"/>
        <v>4.464628951953542</v>
      </c>
      <c r="JA20" s="928">
        <f t="shared" si="117"/>
        <v>5.964628951953542</v>
      </c>
      <c r="JB20" s="913">
        <f t="shared" si="107"/>
        <v>25432535.745143324</v>
      </c>
      <c r="JC20" s="852">
        <v>0.22223321089288017</v>
      </c>
      <c r="JG20" s="730">
        <v>17</v>
      </c>
      <c r="JH20" s="867">
        <v>17</v>
      </c>
      <c r="JI20" s="732" t="s">
        <v>424</v>
      </c>
      <c r="JJ20" s="784">
        <f t="shared" si="96"/>
        <v>542974871.39831066</v>
      </c>
      <c r="JK20" s="917">
        <f t="shared" si="97"/>
        <v>4.464628951953542</v>
      </c>
      <c r="JL20" s="868">
        <v>5.4630000000000001</v>
      </c>
      <c r="JM20" s="765"/>
      <c r="JN20" s="868"/>
      <c r="JO20" s="766">
        <v>10</v>
      </c>
      <c r="JT20" s="936">
        <v>12.928700926540257</v>
      </c>
      <c r="JU20" s="936">
        <f t="shared" si="64"/>
        <v>7.8025413285942591E-5</v>
      </c>
      <c r="JV20" s="13">
        <v>54165023</v>
      </c>
      <c r="JW20" s="13">
        <f t="shared" si="65"/>
        <v>25062.666296094656</v>
      </c>
    </row>
    <row r="21" spans="3:294" x14ac:dyDescent="0.3">
      <c r="J21" s="338">
        <v>18</v>
      </c>
      <c r="K21" s="759">
        <v>18</v>
      </c>
      <c r="L21" s="518" t="s">
        <v>425</v>
      </c>
      <c r="M21" s="904">
        <v>54190085.666296095</v>
      </c>
      <c r="N21" s="943">
        <f t="shared" si="66"/>
        <v>2.4586556797240679E-2</v>
      </c>
      <c r="O21" s="455">
        <v>358.03166090709647</v>
      </c>
      <c r="P21" s="948">
        <f t="shared" si="67"/>
        <v>151355.56874775264</v>
      </c>
      <c r="Q21" s="659">
        <f t="shared" si="68"/>
        <v>8.5720382597594277E-2</v>
      </c>
      <c r="R21" s="322" t="s">
        <v>397</v>
      </c>
      <c r="V21" s="734">
        <f t="shared" si="98"/>
        <v>18</v>
      </c>
      <c r="W21" s="735">
        <f t="shared" si="0"/>
        <v>18</v>
      </c>
      <c r="X21" s="518" t="s">
        <v>425</v>
      </c>
      <c r="Y21" s="924">
        <f t="shared" si="69"/>
        <v>5337510.9168197233</v>
      </c>
      <c r="Z21" s="943">
        <f t="shared" si="70"/>
        <v>6.3774562715875255E-2</v>
      </c>
      <c r="AD21" s="734">
        <v>18</v>
      </c>
      <c r="AE21" s="146">
        <v>18</v>
      </c>
      <c r="AF21" s="347" t="s">
        <v>425</v>
      </c>
      <c r="AG21" s="369">
        <v>8.4600000000000009</v>
      </c>
      <c r="AQ21" s="734">
        <f t="shared" si="71"/>
        <v>18</v>
      </c>
      <c r="AR21" s="787">
        <f t="shared" si="1"/>
        <v>18</v>
      </c>
      <c r="AS21" s="518" t="s">
        <v>425</v>
      </c>
      <c r="AT21" s="518">
        <f t="shared" si="2"/>
        <v>8.4600000000000009</v>
      </c>
      <c r="AU21" s="788">
        <f t="shared" si="72"/>
        <v>54190085.666296095</v>
      </c>
      <c r="AV21" s="788">
        <f>AU21*AT21/3600</f>
        <v>127346.70131579583</v>
      </c>
      <c r="AW21" s="789">
        <f t="shared" si="3"/>
        <v>131798.9025637765</v>
      </c>
      <c r="AX21" s="790">
        <f t="shared" si="4"/>
        <v>18.336776074005567</v>
      </c>
      <c r="AY21" s="358">
        <f t="shared" si="108"/>
        <v>2416766.9631116479</v>
      </c>
      <c r="AZ21" s="35">
        <f t="shared" si="73"/>
        <v>6.6939452600474195E-2</v>
      </c>
      <c r="BA21" s="55">
        <f t="shared" si="5"/>
        <v>4.4597949999999997</v>
      </c>
      <c r="BL21" s="338">
        <f t="shared" si="100"/>
        <v>18</v>
      </c>
      <c r="BM21" s="322">
        <f t="shared" si="6"/>
        <v>18</v>
      </c>
      <c r="BN21" s="518" t="s">
        <v>425</v>
      </c>
      <c r="BO21" s="659">
        <f t="shared" si="7"/>
        <v>6.6939452600474195E-2</v>
      </c>
      <c r="BP21" s="358">
        <f t="shared" si="74"/>
        <v>525849.49228762637</v>
      </c>
      <c r="BQ21" s="659">
        <f t="shared" si="8"/>
        <v>2.4586556797240679E-2</v>
      </c>
      <c r="BR21" s="358">
        <f t="shared" si="75"/>
        <v>193142.12929249907</v>
      </c>
      <c r="BS21" s="809">
        <f t="shared" si="9"/>
        <v>718991.62158012541</v>
      </c>
      <c r="BT21" s="810">
        <f>IF($AU21=0,0,ROUND(IF(VLOOKUP(BM21,$AR$4:$AU$27,$BA$30,FALSE)&lt;&gt;0,BS21/VLOOKUP(BM21,$AR$4:$AU$27,$BA$30,FALSE)*100,""),6))</f>
        <v>1.3267960000000001</v>
      </c>
      <c r="BW21" s="1"/>
      <c r="BX21" s="10"/>
      <c r="BY21" s="10"/>
      <c r="BZ21" s="10"/>
      <c r="CA21" s="10"/>
      <c r="CB21" s="10"/>
      <c r="CC21" s="10"/>
      <c r="CD21" s="10"/>
      <c r="CE21" s="10"/>
      <c r="CI21" s="734">
        <f t="shared" si="101"/>
        <v>18</v>
      </c>
      <c r="CJ21" s="146">
        <f t="shared" si="12"/>
        <v>18</v>
      </c>
      <c r="CK21" s="518" t="s">
        <v>425</v>
      </c>
      <c r="CL21" s="344">
        <f t="shared" si="13"/>
        <v>2.4586556797240679E-2</v>
      </c>
      <c r="CM21" s="20">
        <f t="shared" si="14"/>
        <v>131642.328930633</v>
      </c>
      <c r="CN21" s="344">
        <f t="shared" si="15"/>
        <v>8.5720382597594277E-2</v>
      </c>
      <c r="CO21" s="20">
        <f t="shared" si="16"/>
        <v>1491631.3442208983</v>
      </c>
      <c r="CP21" s="20">
        <f t="shared" si="17"/>
        <v>1623273.6731515313</v>
      </c>
      <c r="CQ21" s="344">
        <f t="shared" si="18"/>
        <v>7.1335856616084797E-2</v>
      </c>
      <c r="CR21" s="342">
        <f t="shared" si="19"/>
        <v>2.9955180000000001</v>
      </c>
      <c r="DE21" s="1"/>
      <c r="DH21" s="734">
        <v>18</v>
      </c>
      <c r="DI21" s="745">
        <f t="shared" si="20"/>
        <v>18</v>
      </c>
      <c r="DJ21" s="518" t="s">
        <v>425</v>
      </c>
      <c r="DK21" s="344">
        <f t="shared" si="21"/>
        <v>7.1335856616084797E-2</v>
      </c>
      <c r="DL21" s="20">
        <f t="shared" si="77"/>
        <v>22536.998375817187</v>
      </c>
      <c r="DM21" s="344">
        <f t="shared" si="22"/>
        <v>8.5720382597594277E-2</v>
      </c>
      <c r="DN21" s="20">
        <f t="shared" si="23"/>
        <v>167600.79451728822</v>
      </c>
      <c r="DO21" s="344">
        <f t="shared" si="24"/>
        <v>2.4586556797240679E-2</v>
      </c>
      <c r="DP21" s="20">
        <f t="shared" si="25"/>
        <v>80037.121528870863</v>
      </c>
      <c r="DQ21" s="20">
        <f t="shared" si="78"/>
        <v>270174.91442197631</v>
      </c>
      <c r="DR21" s="344">
        <f t="shared" si="26"/>
        <v>4.8887588645527218E-2</v>
      </c>
      <c r="DS21" s="342">
        <f t="shared" si="27"/>
        <v>0.49856899999999998</v>
      </c>
      <c r="DW21" s="734">
        <f t="shared" si="102"/>
        <v>18</v>
      </c>
      <c r="DX21" s="745">
        <f t="shared" si="28"/>
        <v>18</v>
      </c>
      <c r="DY21" s="518" t="s">
        <v>425</v>
      </c>
      <c r="DZ21" s="344">
        <f t="shared" si="29"/>
        <v>8.5720382597594277E-2</v>
      </c>
      <c r="EA21" s="20">
        <f t="shared" si="30"/>
        <v>308303.744554442</v>
      </c>
      <c r="EB21" s="342">
        <f t="shared" si="31"/>
        <v>0.56893000000000005</v>
      </c>
      <c r="EN21" s="734">
        <f t="shared" si="103"/>
        <v>18</v>
      </c>
      <c r="EO21" s="745">
        <f t="shared" si="32"/>
        <v>18</v>
      </c>
      <c r="EP21" s="518" t="s">
        <v>425</v>
      </c>
      <c r="EQ21" s="344">
        <f t="shared" si="33"/>
        <v>6.3774562715875255E-2</v>
      </c>
      <c r="ER21" s="20">
        <f t="shared" si="34"/>
        <v>456475.30089929863</v>
      </c>
      <c r="ES21" s="344">
        <f t="shared" si="35"/>
        <v>7.1335856616084797E-2</v>
      </c>
      <c r="ET21" s="20">
        <f t="shared" si="36"/>
        <v>68842.477522992966</v>
      </c>
      <c r="EU21" s="344">
        <f t="shared" si="37"/>
        <v>2.4586556797240679E-2</v>
      </c>
      <c r="EV21" s="20">
        <f t="shared" si="38"/>
        <v>63569.005935574467</v>
      </c>
      <c r="EW21" s="20">
        <f t="shared" si="39"/>
        <v>588886.78435786604</v>
      </c>
      <c r="EX21" s="344">
        <f t="shared" si="40"/>
        <v>5.4993976298016292E-2</v>
      </c>
      <c r="EY21" s="342">
        <f t="shared" si="41"/>
        <v>1.0867059999999999</v>
      </c>
      <c r="FI21" s="734">
        <f t="shared" si="104"/>
        <v>18</v>
      </c>
      <c r="FJ21" s="735">
        <f t="shared" si="42"/>
        <v>18</v>
      </c>
      <c r="FK21" s="518" t="s">
        <v>425</v>
      </c>
      <c r="FL21" s="344">
        <f t="shared" si="43"/>
        <v>6.3774562715875255E-2</v>
      </c>
      <c r="FM21" s="20">
        <f t="shared" si="44"/>
        <v>1198555.4430181703</v>
      </c>
      <c r="FN21" s="342">
        <f t="shared" si="45"/>
        <v>2.2117610000000001</v>
      </c>
      <c r="FR21" s="734">
        <f t="shared" si="105"/>
        <v>18</v>
      </c>
      <c r="FS21" s="735">
        <v>18</v>
      </c>
      <c r="FT21" s="518" t="s">
        <v>425</v>
      </c>
      <c r="FU21" s="20">
        <f t="shared" si="46"/>
        <v>2416766.9631116479</v>
      </c>
      <c r="FV21" s="20">
        <f t="shared" si="47"/>
        <v>718991.62158012541</v>
      </c>
      <c r="FW21" s="20">
        <f t="shared" si="48"/>
        <v>1623273.6731515313</v>
      </c>
      <c r="FX21" s="20">
        <f t="shared" si="49"/>
        <v>270174.91442197631</v>
      </c>
      <c r="FY21" s="20">
        <f t="shared" si="50"/>
        <v>308303.744554442</v>
      </c>
      <c r="FZ21" s="20">
        <f t="shared" si="51"/>
        <v>588886.78435786604</v>
      </c>
      <c r="GA21" s="20">
        <f t="shared" si="52"/>
        <v>1198555.4430181703</v>
      </c>
      <c r="GB21" s="20">
        <f t="shared" si="53"/>
        <v>7124953.1441957597</v>
      </c>
      <c r="GC21" s="414">
        <f t="shared" si="54"/>
        <v>13.148075</v>
      </c>
      <c r="GG21" s="734">
        <f t="shared" si="79"/>
        <v>18</v>
      </c>
      <c r="GH21" s="735">
        <f t="shared" si="55"/>
        <v>18</v>
      </c>
      <c r="GI21" s="518" t="s">
        <v>425</v>
      </c>
      <c r="GJ21" s="342">
        <f t="shared" si="56"/>
        <v>4.4597949999999997</v>
      </c>
      <c r="GK21" s="342">
        <f t="shared" si="57"/>
        <v>1.3267960000000001</v>
      </c>
      <c r="GL21" s="342">
        <f t="shared" si="58"/>
        <v>2.9955180000000001</v>
      </c>
      <c r="GM21" s="342">
        <f t="shared" si="59"/>
        <v>0.49856899999999998</v>
      </c>
      <c r="GN21" s="342">
        <f t="shared" si="60"/>
        <v>0.56893000000000005</v>
      </c>
      <c r="GO21" s="342">
        <f t="shared" si="61"/>
        <v>1.0867059999999999</v>
      </c>
      <c r="GP21" s="342">
        <f t="shared" si="62"/>
        <v>2.2117610000000001</v>
      </c>
      <c r="GQ21" s="342">
        <f t="shared" si="63"/>
        <v>13.148075</v>
      </c>
      <c r="GR21" s="788">
        <f t="shared" si="80"/>
        <v>54190085.666296095</v>
      </c>
      <c r="GS21" s="716"/>
      <c r="GV21" s="718">
        <f t="shared" si="81"/>
        <v>18</v>
      </c>
      <c r="GW21" s="735">
        <v>18</v>
      </c>
      <c r="GX21" s="518" t="s">
        <v>425</v>
      </c>
      <c r="GY21" s="322" t="s">
        <v>397</v>
      </c>
      <c r="GZ21" s="924">
        <f t="shared" si="82"/>
        <v>7124953.1441957597</v>
      </c>
      <c r="HA21" s="788">
        <f t="shared" si="83"/>
        <v>54190085.666296095</v>
      </c>
      <c r="HB21" s="922">
        <f t="shared" si="109"/>
        <v>13.148075</v>
      </c>
      <c r="HC21" s="942">
        <f t="shared" si="85"/>
        <v>7124953.10596886</v>
      </c>
      <c r="HD21" s="858">
        <v>-0.1446945620700717</v>
      </c>
      <c r="HE21" s="54"/>
      <c r="HH21" s="54"/>
      <c r="HI21" s="54"/>
      <c r="HJ21" s="54"/>
      <c r="HK21" s="54"/>
      <c r="HL21" s="54"/>
      <c r="HM21" s="54"/>
      <c r="HN21" s="54"/>
      <c r="HQ21" s="734">
        <v>18</v>
      </c>
      <c r="HR21" s="869">
        <v>18</v>
      </c>
      <c r="HS21" s="518" t="s">
        <v>425</v>
      </c>
      <c r="HT21" s="788">
        <f t="shared" si="86"/>
        <v>54190085.666296095</v>
      </c>
      <c r="HU21" s="917">
        <f t="shared" si="87"/>
        <v>13.148075</v>
      </c>
      <c r="HV21" s="870"/>
      <c r="HW21" s="768"/>
      <c r="HX21" s="870">
        <v>-2.6237379999999995</v>
      </c>
      <c r="HY21" s="769">
        <v>25</v>
      </c>
      <c r="IP21" s="734">
        <v>18</v>
      </c>
      <c r="IQ21" s="869">
        <v>18</v>
      </c>
      <c r="IR21" s="518" t="s">
        <v>425</v>
      </c>
      <c r="IS21" s="913">
        <f t="shared" si="106"/>
        <v>7124953.10596886</v>
      </c>
      <c r="IT21" s="915">
        <f t="shared" si="88"/>
        <v>54190085.666296095</v>
      </c>
      <c r="IU21" s="919">
        <f t="shared" si="89"/>
        <v>13.148075</v>
      </c>
      <c r="IV21" s="904">
        <f t="shared" si="114"/>
        <v>7922447.7532784892</v>
      </c>
      <c r="IW21" s="904">
        <f t="shared" si="91"/>
        <v>46267637.913017608</v>
      </c>
      <c r="IX21" s="913">
        <f t="shared" si="115"/>
        <v>118836.71629917734</v>
      </c>
      <c r="IY21" s="882">
        <f t="shared" si="93"/>
        <v>7006116.3896696828</v>
      </c>
      <c r="IZ21" s="928">
        <f t="shared" si="116"/>
        <v>12.928778951953543</v>
      </c>
      <c r="JA21" s="928">
        <f t="shared" si="117"/>
        <v>14.428778951953543</v>
      </c>
      <c r="JB21" s="913">
        <f t="shared" si="107"/>
        <v>7124953.1059688618</v>
      </c>
      <c r="JC21" s="883">
        <v>0.22223282548291756</v>
      </c>
      <c r="JG21" s="734">
        <v>18</v>
      </c>
      <c r="JH21" s="869">
        <v>18</v>
      </c>
      <c r="JI21" s="518" t="s">
        <v>425</v>
      </c>
      <c r="JJ21" s="788">
        <f t="shared" si="96"/>
        <v>54190085.666296095</v>
      </c>
      <c r="JK21" s="917">
        <f t="shared" si="97"/>
        <v>12.928778951953543</v>
      </c>
      <c r="JL21" s="870">
        <v>15.667</v>
      </c>
      <c r="JM21" s="768"/>
      <c r="JN21" s="870"/>
      <c r="JO21" s="769">
        <v>25</v>
      </c>
      <c r="JT21" s="936">
        <v>230.53352092654026</v>
      </c>
      <c r="JU21" s="936">
        <f t="shared" si="64"/>
        <v>-2.4568974586742343E-2</v>
      </c>
      <c r="JV21" s="13">
        <v>2154</v>
      </c>
      <c r="JW21" s="13">
        <f t="shared" si="65"/>
        <v>1295.6253709013754</v>
      </c>
    </row>
    <row r="22" spans="3:294" x14ac:dyDescent="0.3">
      <c r="J22" s="756">
        <v>19</v>
      </c>
      <c r="K22" s="757">
        <v>19</v>
      </c>
      <c r="L22" s="732" t="s">
        <v>426</v>
      </c>
      <c r="M22" s="904">
        <v>3449.6253709013754</v>
      </c>
      <c r="N22" s="944">
        <f t="shared" si="66"/>
        <v>1.5651278101525501E-6</v>
      </c>
      <c r="O22" s="753">
        <v>14.771428571428572</v>
      </c>
      <c r="P22" s="948">
        <f t="shared" si="67"/>
        <v>233.53363245947415</v>
      </c>
      <c r="Q22" s="733">
        <f t="shared" si="68"/>
        <v>1.3226201380931566E-4</v>
      </c>
      <c r="R22" s="758" t="s">
        <v>397</v>
      </c>
      <c r="V22" s="730">
        <f t="shared" si="98"/>
        <v>19</v>
      </c>
      <c r="W22" s="731">
        <f t="shared" si="0"/>
        <v>19</v>
      </c>
      <c r="X22" s="732" t="s">
        <v>426</v>
      </c>
      <c r="Y22" s="924">
        <f t="shared" si="69"/>
        <v>5997.5571246910822</v>
      </c>
      <c r="Z22" s="944">
        <f t="shared" si="70"/>
        <v>7.166103994004715E-5</v>
      </c>
      <c r="AD22" s="730">
        <v>19</v>
      </c>
      <c r="AE22" s="746">
        <v>19</v>
      </c>
      <c r="AF22" s="747" t="s">
        <v>426</v>
      </c>
      <c r="AG22" s="748">
        <v>131.15</v>
      </c>
      <c r="AQ22" s="730">
        <f t="shared" si="71"/>
        <v>19</v>
      </c>
      <c r="AR22" s="783">
        <f t="shared" si="1"/>
        <v>19</v>
      </c>
      <c r="AS22" s="732" t="s">
        <v>426</v>
      </c>
      <c r="AT22" s="732">
        <f t="shared" si="2"/>
        <v>131.15</v>
      </c>
      <c r="AU22" s="784">
        <f t="shared" si="72"/>
        <v>3449.6253709013754</v>
      </c>
      <c r="AV22" s="784">
        <f t="shared" si="99"/>
        <v>125.67176872047651</v>
      </c>
      <c r="AW22" s="785">
        <f t="shared" si="3"/>
        <v>130.06541221302172</v>
      </c>
      <c r="AX22" s="786">
        <f t="shared" si="4"/>
        <v>18.336776074005567</v>
      </c>
      <c r="AY22" s="379">
        <f t="shared" si="108"/>
        <v>2384.9803387234078</v>
      </c>
      <c r="AZ22" s="51">
        <f t="shared" si="73"/>
        <v>6.6059028766052812E-5</v>
      </c>
      <c r="BA22" s="53">
        <f t="shared" si="5"/>
        <v>69.137371999999999</v>
      </c>
      <c r="BL22" s="756">
        <f t="shared" si="100"/>
        <v>19</v>
      </c>
      <c r="BM22" s="758">
        <f t="shared" si="6"/>
        <v>19</v>
      </c>
      <c r="BN22" s="732" t="s">
        <v>426</v>
      </c>
      <c r="BO22" s="733">
        <f t="shared" si="7"/>
        <v>6.6059028766052812E-5</v>
      </c>
      <c r="BP22" s="379">
        <f t="shared" si="74"/>
        <v>518.93323575515012</v>
      </c>
      <c r="BQ22" s="733">
        <f t="shared" si="8"/>
        <v>1.5651278101525501E-6</v>
      </c>
      <c r="BR22" s="379">
        <f t="shared" si="75"/>
        <v>12.295016352257004</v>
      </c>
      <c r="BS22" s="807">
        <f t="shared" si="9"/>
        <v>531.22825210740712</v>
      </c>
      <c r="BT22" s="808">
        <f t="shared" si="10"/>
        <v>15.399592999999999</v>
      </c>
      <c r="BW22" s="1"/>
      <c r="BX22" s="10"/>
      <c r="BY22" s="10"/>
      <c r="BZ22" s="10"/>
      <c r="CA22" s="10"/>
      <c r="CB22" s="10"/>
      <c r="CC22" s="10"/>
      <c r="CD22" s="10"/>
      <c r="CE22" s="10"/>
      <c r="CI22" s="730">
        <f t="shared" si="101"/>
        <v>19</v>
      </c>
      <c r="CJ22" s="746">
        <f t="shared" si="12"/>
        <v>19</v>
      </c>
      <c r="CK22" s="732" t="s">
        <v>426</v>
      </c>
      <c r="CL22" s="733">
        <f t="shared" si="13"/>
        <v>1.5651278101525501E-6</v>
      </c>
      <c r="CM22" s="379">
        <f t="shared" si="14"/>
        <v>8.3800701213155069</v>
      </c>
      <c r="CN22" s="733">
        <f t="shared" si="15"/>
        <v>1.3226201380931566E-4</v>
      </c>
      <c r="CO22" s="379">
        <f t="shared" si="16"/>
        <v>2301.5082232412869</v>
      </c>
      <c r="CP22" s="379">
        <f t="shared" si="17"/>
        <v>2309.8882933626023</v>
      </c>
      <c r="CQ22" s="733">
        <f t="shared" si="18"/>
        <v>1.0150959928683913E-4</v>
      </c>
      <c r="CR22" s="808">
        <f t="shared" si="19"/>
        <v>66.960554999999999</v>
      </c>
      <c r="DE22" s="1"/>
      <c r="DH22" s="730">
        <v>19</v>
      </c>
      <c r="DI22" s="840">
        <f t="shared" si="20"/>
        <v>19</v>
      </c>
      <c r="DJ22" s="732" t="s">
        <v>426</v>
      </c>
      <c r="DK22" s="733">
        <f t="shared" si="21"/>
        <v>1.0150959928683913E-4</v>
      </c>
      <c r="DL22" s="379">
        <f t="shared" si="77"/>
        <v>32.069730185892404</v>
      </c>
      <c r="DM22" s="733">
        <f t="shared" si="22"/>
        <v>1.3226201380931566E-4</v>
      </c>
      <c r="DN22" s="379">
        <f t="shared" si="23"/>
        <v>258.59915608356101</v>
      </c>
      <c r="DO22" s="733">
        <f t="shared" si="24"/>
        <v>1.5651278101525501E-6</v>
      </c>
      <c r="DP22" s="379">
        <f t="shared" si="25"/>
        <v>5.094992592189806</v>
      </c>
      <c r="DQ22" s="379">
        <f t="shared" si="78"/>
        <v>295.76387886164321</v>
      </c>
      <c r="DR22" s="733">
        <f t="shared" si="26"/>
        <v>5.351785852112934E-5</v>
      </c>
      <c r="DS22" s="808">
        <f t="shared" si="27"/>
        <v>8.5737970000000008</v>
      </c>
      <c r="DW22" s="730">
        <f t="shared" si="102"/>
        <v>19</v>
      </c>
      <c r="DX22" s="840">
        <f t="shared" si="28"/>
        <v>19</v>
      </c>
      <c r="DY22" s="732" t="s">
        <v>426</v>
      </c>
      <c r="DZ22" s="733">
        <f t="shared" si="29"/>
        <v>1.3226201380931566E-4</v>
      </c>
      <c r="EA22" s="379">
        <f t="shared" si="30"/>
        <v>475.69636163602161</v>
      </c>
      <c r="EB22" s="808">
        <f t="shared" si="31"/>
        <v>13.789797999999999</v>
      </c>
      <c r="EN22" s="730">
        <f t="shared" si="103"/>
        <v>19</v>
      </c>
      <c r="EO22" s="840">
        <f t="shared" si="32"/>
        <v>19</v>
      </c>
      <c r="EP22" s="732" t="s">
        <v>426</v>
      </c>
      <c r="EQ22" s="733">
        <f t="shared" si="33"/>
        <v>7.166103994004715E-5</v>
      </c>
      <c r="ER22" s="379">
        <f t="shared" si="34"/>
        <v>512.92385829635612</v>
      </c>
      <c r="ES22" s="733">
        <f t="shared" si="35"/>
        <v>1.0150959928683913E-4</v>
      </c>
      <c r="ET22" s="379">
        <f t="shared" si="36"/>
        <v>97.9615671384053</v>
      </c>
      <c r="EU22" s="733">
        <f t="shared" si="37"/>
        <v>1.5651278101525501E-6</v>
      </c>
      <c r="EV22" s="379">
        <f t="shared" si="38"/>
        <v>4.04666744815143</v>
      </c>
      <c r="EW22" s="379">
        <f t="shared" si="39"/>
        <v>614.9320928829128</v>
      </c>
      <c r="EX22" s="733">
        <f t="shared" si="40"/>
        <v>5.7426252106791303E-5</v>
      </c>
      <c r="EY22" s="808">
        <f t="shared" si="41"/>
        <v>17.826053999999999</v>
      </c>
      <c r="FI22" s="730">
        <f t="shared" si="104"/>
        <v>19</v>
      </c>
      <c r="FJ22" s="731">
        <f t="shared" si="42"/>
        <v>19</v>
      </c>
      <c r="FK22" s="732" t="s">
        <v>426</v>
      </c>
      <c r="FL22" s="733">
        <f t="shared" si="43"/>
        <v>7.166103994004715E-5</v>
      </c>
      <c r="FM22" s="379">
        <f t="shared" si="44"/>
        <v>1346.7709665864268</v>
      </c>
      <c r="FN22" s="808">
        <f t="shared" si="45"/>
        <v>39.041079000000003</v>
      </c>
      <c r="FR22" s="730">
        <f t="shared" si="105"/>
        <v>19</v>
      </c>
      <c r="FS22" s="731">
        <v>19</v>
      </c>
      <c r="FT22" s="732" t="s">
        <v>426</v>
      </c>
      <c r="FU22" s="379">
        <f t="shared" si="46"/>
        <v>2384.9803387234078</v>
      </c>
      <c r="FV22" s="379">
        <f t="shared" si="47"/>
        <v>531.22825210740712</v>
      </c>
      <c r="FW22" s="379">
        <f t="shared" si="48"/>
        <v>2309.8882933626023</v>
      </c>
      <c r="FX22" s="379">
        <f t="shared" si="49"/>
        <v>295.76387886164321</v>
      </c>
      <c r="FY22" s="379">
        <f t="shared" si="50"/>
        <v>475.69636163602161</v>
      </c>
      <c r="FZ22" s="379">
        <f t="shared" si="51"/>
        <v>614.9320928829128</v>
      </c>
      <c r="GA22" s="379">
        <f t="shared" si="52"/>
        <v>1346.7709665864268</v>
      </c>
      <c r="GB22" s="379">
        <f t="shared" si="53"/>
        <v>7959.2601841604219</v>
      </c>
      <c r="GC22" s="852">
        <f t="shared" si="54"/>
        <v>230.72824800000001</v>
      </c>
      <c r="GG22" s="730">
        <f t="shared" si="79"/>
        <v>19</v>
      </c>
      <c r="GH22" s="731">
        <f t="shared" si="55"/>
        <v>19</v>
      </c>
      <c r="GI22" s="732" t="s">
        <v>426</v>
      </c>
      <c r="GJ22" s="808">
        <f t="shared" si="56"/>
        <v>69.137371999999999</v>
      </c>
      <c r="GK22" s="808">
        <f t="shared" si="57"/>
        <v>15.399592999999999</v>
      </c>
      <c r="GL22" s="808">
        <f t="shared" si="58"/>
        <v>66.960554999999999</v>
      </c>
      <c r="GM22" s="808">
        <f t="shared" si="59"/>
        <v>8.5737970000000008</v>
      </c>
      <c r="GN22" s="808">
        <f t="shared" si="60"/>
        <v>13.789797999999999</v>
      </c>
      <c r="GO22" s="808">
        <f t="shared" si="61"/>
        <v>17.826053999999999</v>
      </c>
      <c r="GP22" s="808">
        <f t="shared" si="62"/>
        <v>39.041079000000003</v>
      </c>
      <c r="GQ22" s="808">
        <f t="shared" si="63"/>
        <v>230.72824800000001</v>
      </c>
      <c r="GR22" s="784">
        <f t="shared" si="80"/>
        <v>3449.6253709013754</v>
      </c>
      <c r="GS22" s="716"/>
      <c r="GV22" s="717">
        <f t="shared" si="81"/>
        <v>19</v>
      </c>
      <c r="GW22" s="731">
        <v>19</v>
      </c>
      <c r="GX22" s="732" t="s">
        <v>426</v>
      </c>
      <c r="GY22" s="758" t="s">
        <v>397</v>
      </c>
      <c r="GZ22" s="906">
        <f t="shared" si="82"/>
        <v>7959.2601841604219</v>
      </c>
      <c r="HA22" s="784">
        <f t="shared" si="83"/>
        <v>3449.6253709013754</v>
      </c>
      <c r="HB22" s="922">
        <f t="shared" si="109"/>
        <v>230.72824800000001</v>
      </c>
      <c r="HC22" s="942">
        <f t="shared" si="85"/>
        <v>7959.260180844245</v>
      </c>
      <c r="HD22" s="857">
        <v>-1.0707106412155554E-5</v>
      </c>
      <c r="HE22" s="54"/>
      <c r="HH22" s="54"/>
      <c r="HI22" s="54"/>
      <c r="HJ22" s="54"/>
      <c r="HK22" s="54"/>
      <c r="HL22" s="54"/>
      <c r="HM22" s="54"/>
      <c r="HN22" s="54"/>
      <c r="HQ22" s="730">
        <v>19</v>
      </c>
      <c r="HR22" s="867">
        <v>19</v>
      </c>
      <c r="HS22" s="732" t="s">
        <v>426</v>
      </c>
      <c r="HT22" s="784">
        <f t="shared" si="86"/>
        <v>3449.6253709013754</v>
      </c>
      <c r="HU22" s="917">
        <f t="shared" si="87"/>
        <v>230.72824800000001</v>
      </c>
      <c r="HV22" s="868"/>
      <c r="HW22" s="765"/>
      <c r="HX22" s="868">
        <v>-2.8946819999999889</v>
      </c>
      <c r="HY22" s="766">
        <v>10</v>
      </c>
      <c r="IP22" s="730">
        <v>19</v>
      </c>
      <c r="IQ22" s="867">
        <v>19</v>
      </c>
      <c r="IR22" s="732" t="s">
        <v>426</v>
      </c>
      <c r="IS22" s="913">
        <f t="shared" si="106"/>
        <v>7959.260180844245</v>
      </c>
      <c r="IT22" s="915">
        <f t="shared" si="88"/>
        <v>3449.6253709013754</v>
      </c>
      <c r="IU22" s="918">
        <f t="shared" si="89"/>
        <v>230.72824800000001</v>
      </c>
      <c r="IV22" s="904">
        <f t="shared" si="114"/>
        <v>504.32614071964525</v>
      </c>
      <c r="IW22" s="904">
        <f t="shared" si="91"/>
        <v>2945.2992301817303</v>
      </c>
      <c r="IX22" s="913">
        <f t="shared" si="115"/>
        <v>7.5648921107946787</v>
      </c>
      <c r="IY22" s="881">
        <f t="shared" si="93"/>
        <v>7951.6952887334501</v>
      </c>
      <c r="IZ22" s="928">
        <f t="shared" si="116"/>
        <v>230.50895195195352</v>
      </c>
      <c r="JA22" s="928">
        <f t="shared" si="117"/>
        <v>232.00895195195352</v>
      </c>
      <c r="JB22" s="913">
        <f t="shared" si="107"/>
        <v>7959.2601808442441</v>
      </c>
      <c r="JC22" s="852">
        <v>0.22223272731204702</v>
      </c>
      <c r="JG22" s="730">
        <v>19</v>
      </c>
      <c r="JH22" s="867">
        <v>19</v>
      </c>
      <c r="JI22" s="732" t="s">
        <v>426</v>
      </c>
      <c r="JJ22" s="784">
        <f t="shared" si="96"/>
        <v>3449.6253709013754</v>
      </c>
      <c r="JK22" s="917">
        <f t="shared" si="97"/>
        <v>230.50895195195352</v>
      </c>
      <c r="JL22" s="868">
        <v>235.7</v>
      </c>
      <c r="JM22" s="765"/>
      <c r="JN22" s="868"/>
      <c r="JO22" s="766">
        <v>10</v>
      </c>
      <c r="JT22" s="936">
        <v>0</v>
      </c>
      <c r="JU22" s="936">
        <f t="shared" si="64"/>
        <v>0</v>
      </c>
      <c r="JV22" s="13">
        <v>0</v>
      </c>
      <c r="JW22" s="13">
        <f t="shared" si="65"/>
        <v>0</v>
      </c>
    </row>
    <row r="23" spans="3:294" x14ac:dyDescent="0.3">
      <c r="J23" s="338">
        <v>20</v>
      </c>
      <c r="K23" s="759">
        <v>20</v>
      </c>
      <c r="L23" s="518" t="s">
        <v>427</v>
      </c>
      <c r="M23" s="904"/>
      <c r="N23" s="943">
        <f t="shared" si="66"/>
        <v>0</v>
      </c>
      <c r="O23" s="455">
        <v>813.59999999999991</v>
      </c>
      <c r="P23" s="948">
        <f t="shared" si="67"/>
        <v>0</v>
      </c>
      <c r="Q23" s="659">
        <f t="shared" si="68"/>
        <v>0</v>
      </c>
      <c r="R23" s="322" t="s">
        <v>402</v>
      </c>
      <c r="V23" s="734">
        <f t="shared" si="98"/>
        <v>20</v>
      </c>
      <c r="W23" s="735">
        <f t="shared" si="0"/>
        <v>20</v>
      </c>
      <c r="X23" s="518" t="s">
        <v>427</v>
      </c>
      <c r="Y23" s="924">
        <f t="shared" si="69"/>
        <v>0</v>
      </c>
      <c r="Z23" s="943">
        <f t="shared" si="70"/>
        <v>0</v>
      </c>
      <c r="AD23" s="734">
        <v>20</v>
      </c>
      <c r="AE23" s="146">
        <v>20</v>
      </c>
      <c r="AF23" s="347" t="s">
        <v>427</v>
      </c>
      <c r="AG23" s="369">
        <v>4.6900000000000004</v>
      </c>
      <c r="AQ23" s="734">
        <f t="shared" si="71"/>
        <v>20</v>
      </c>
      <c r="AR23" s="787">
        <f t="shared" si="1"/>
        <v>20</v>
      </c>
      <c r="AS23" s="518" t="s">
        <v>427</v>
      </c>
      <c r="AT23" s="518">
        <f t="shared" si="2"/>
        <v>4.6900000000000004</v>
      </c>
      <c r="AU23" s="788">
        <f t="shared" si="72"/>
        <v>0</v>
      </c>
      <c r="AV23" s="788">
        <f t="shared" si="99"/>
        <v>0</v>
      </c>
      <c r="AW23" s="789">
        <f t="shared" si="3"/>
        <v>0</v>
      </c>
      <c r="AX23" s="790">
        <f t="shared" si="4"/>
        <v>18.336776074005567</v>
      </c>
      <c r="AY23" s="358">
        <f t="shared" si="108"/>
        <v>0</v>
      </c>
      <c r="AZ23" s="35">
        <f t="shared" si="73"/>
        <v>0</v>
      </c>
      <c r="BA23" s="55">
        <f t="shared" si="5"/>
        <v>0</v>
      </c>
      <c r="BL23" s="338">
        <f t="shared" si="100"/>
        <v>20</v>
      </c>
      <c r="BM23" s="322">
        <f t="shared" si="6"/>
        <v>20</v>
      </c>
      <c r="BN23" s="518" t="s">
        <v>427</v>
      </c>
      <c r="BO23" s="659">
        <f>VLOOKUP(BM23,$AR$4:$AZ$28,$BO$30,FALSE)</f>
        <v>0</v>
      </c>
      <c r="BP23" s="358">
        <f>BO23*$BP$28</f>
        <v>0</v>
      </c>
      <c r="BQ23" s="947">
        <f>VLOOKUP(BM23,$K$4:$N$27,$BQ$30,FALSE)</f>
        <v>0</v>
      </c>
      <c r="BR23" s="358">
        <f>BQ23*$BR$28</f>
        <v>0</v>
      </c>
      <c r="BS23" s="809">
        <f t="shared" si="9"/>
        <v>0</v>
      </c>
      <c r="BT23" s="810">
        <f t="shared" si="10"/>
        <v>0</v>
      </c>
      <c r="BW23" s="1"/>
      <c r="BX23" s="10"/>
      <c r="BY23" s="10"/>
      <c r="BZ23" s="10"/>
      <c r="CA23" s="10"/>
      <c r="CB23" s="10"/>
      <c r="CC23" s="10"/>
      <c r="CD23" s="10"/>
      <c r="CE23" s="10"/>
      <c r="CI23" s="734">
        <f t="shared" si="101"/>
        <v>20</v>
      </c>
      <c r="CJ23" s="146">
        <f t="shared" si="12"/>
        <v>20</v>
      </c>
      <c r="CK23" s="518" t="s">
        <v>427</v>
      </c>
      <c r="CL23" s="344">
        <f t="shared" si="13"/>
        <v>0</v>
      </c>
      <c r="CM23" s="20">
        <f t="shared" si="14"/>
        <v>0</v>
      </c>
      <c r="CN23" s="344">
        <f t="shared" si="15"/>
        <v>0</v>
      </c>
      <c r="CO23" s="20">
        <f t="shared" si="16"/>
        <v>0</v>
      </c>
      <c r="CP23" s="20">
        <f t="shared" si="17"/>
        <v>0</v>
      </c>
      <c r="CQ23" s="344">
        <f t="shared" si="18"/>
        <v>0</v>
      </c>
      <c r="CR23" s="342">
        <f t="shared" si="19"/>
        <v>0</v>
      </c>
      <c r="DE23" s="1"/>
      <c r="DH23" s="734">
        <v>20</v>
      </c>
      <c r="DI23" s="745">
        <f t="shared" si="20"/>
        <v>20</v>
      </c>
      <c r="DJ23" s="518" t="s">
        <v>427</v>
      </c>
      <c r="DK23" s="344">
        <f t="shared" si="21"/>
        <v>0</v>
      </c>
      <c r="DL23" s="20">
        <f t="shared" si="77"/>
        <v>0</v>
      </c>
      <c r="DM23" s="344">
        <f t="shared" si="22"/>
        <v>0</v>
      </c>
      <c r="DN23" s="20">
        <f t="shared" si="23"/>
        <v>0</v>
      </c>
      <c r="DO23" s="344">
        <f t="shared" si="24"/>
        <v>0</v>
      </c>
      <c r="DP23" s="20">
        <f t="shared" si="25"/>
        <v>0</v>
      </c>
      <c r="DQ23" s="20">
        <f t="shared" si="78"/>
        <v>0</v>
      </c>
      <c r="DR23" s="344">
        <f t="shared" si="26"/>
        <v>0</v>
      </c>
      <c r="DS23" s="342">
        <f t="shared" si="27"/>
        <v>0</v>
      </c>
      <c r="DW23" s="734">
        <f t="shared" si="102"/>
        <v>20</v>
      </c>
      <c r="DX23" s="745">
        <f t="shared" si="28"/>
        <v>20</v>
      </c>
      <c r="DY23" s="518" t="s">
        <v>427</v>
      </c>
      <c r="DZ23" s="344">
        <f t="shared" si="29"/>
        <v>0</v>
      </c>
      <c r="EA23" s="20">
        <f t="shared" si="30"/>
        <v>0</v>
      </c>
      <c r="EB23" s="342">
        <f t="shared" si="31"/>
        <v>0</v>
      </c>
      <c r="EN23" s="734">
        <f t="shared" si="103"/>
        <v>20</v>
      </c>
      <c r="EO23" s="745">
        <f t="shared" si="32"/>
        <v>20</v>
      </c>
      <c r="EP23" s="518" t="s">
        <v>427</v>
      </c>
      <c r="EQ23" s="344">
        <f t="shared" si="33"/>
        <v>0</v>
      </c>
      <c r="ER23" s="20">
        <f t="shared" si="34"/>
        <v>0</v>
      </c>
      <c r="ES23" s="344">
        <f t="shared" si="35"/>
        <v>0</v>
      </c>
      <c r="ET23" s="20">
        <f t="shared" si="36"/>
        <v>0</v>
      </c>
      <c r="EU23" s="344">
        <f t="shared" si="37"/>
        <v>0</v>
      </c>
      <c r="EV23" s="20">
        <f t="shared" si="38"/>
        <v>0</v>
      </c>
      <c r="EW23" s="20">
        <f t="shared" si="39"/>
        <v>0</v>
      </c>
      <c r="EX23" s="344">
        <f t="shared" si="40"/>
        <v>0</v>
      </c>
      <c r="EY23" s="342">
        <f t="shared" si="41"/>
        <v>0</v>
      </c>
      <c r="FI23" s="734">
        <f t="shared" si="104"/>
        <v>20</v>
      </c>
      <c r="FJ23" s="735">
        <f t="shared" si="42"/>
        <v>20</v>
      </c>
      <c r="FK23" s="518" t="s">
        <v>427</v>
      </c>
      <c r="FL23" s="344">
        <f>Z23</f>
        <v>0</v>
      </c>
      <c r="FM23" s="20">
        <f>Z23*$FM$28</f>
        <v>0</v>
      </c>
      <c r="FN23" s="342">
        <f t="shared" si="45"/>
        <v>0</v>
      </c>
      <c r="FR23" s="734">
        <f t="shared" si="105"/>
        <v>20</v>
      </c>
      <c r="FS23" s="735">
        <v>20</v>
      </c>
      <c r="FT23" s="518" t="s">
        <v>427</v>
      </c>
      <c r="FU23" s="20">
        <f t="shared" si="46"/>
        <v>0</v>
      </c>
      <c r="FV23" s="20">
        <f>VLOOKUP(FS23,$BM$4:$BT$86,$FV$30,FALSE)</f>
        <v>0</v>
      </c>
      <c r="FW23" s="20">
        <f t="shared" si="48"/>
        <v>0</v>
      </c>
      <c r="FX23" s="20">
        <f t="shared" si="49"/>
        <v>0</v>
      </c>
      <c r="FY23" s="20">
        <f t="shared" si="50"/>
        <v>0</v>
      </c>
      <c r="FZ23" s="20">
        <f t="shared" si="51"/>
        <v>0</v>
      </c>
      <c r="GA23" s="20">
        <f t="shared" si="52"/>
        <v>0</v>
      </c>
      <c r="GB23" s="20">
        <f t="shared" si="53"/>
        <v>0</v>
      </c>
      <c r="GC23" s="414">
        <f t="shared" si="54"/>
        <v>0</v>
      </c>
      <c r="GG23" s="734">
        <f t="shared" si="79"/>
        <v>20</v>
      </c>
      <c r="GH23" s="735">
        <f t="shared" si="55"/>
        <v>20</v>
      </c>
      <c r="GI23" s="518" t="s">
        <v>427</v>
      </c>
      <c r="GJ23" s="342">
        <f t="shared" si="56"/>
        <v>0</v>
      </c>
      <c r="GK23" s="342">
        <f t="shared" si="57"/>
        <v>0</v>
      </c>
      <c r="GL23" s="342">
        <f t="shared" si="58"/>
        <v>0</v>
      </c>
      <c r="GM23" s="342">
        <f t="shared" si="59"/>
        <v>0</v>
      </c>
      <c r="GN23" s="342">
        <f t="shared" si="60"/>
        <v>0</v>
      </c>
      <c r="GO23" s="342">
        <f t="shared" si="61"/>
        <v>0</v>
      </c>
      <c r="GP23" s="342">
        <f t="shared" si="62"/>
        <v>0</v>
      </c>
      <c r="GQ23" s="342">
        <f t="shared" si="63"/>
        <v>0</v>
      </c>
      <c r="GR23" s="788">
        <f t="shared" si="80"/>
        <v>0</v>
      </c>
      <c r="GS23" s="716"/>
      <c r="GV23" s="718">
        <f t="shared" si="81"/>
        <v>20</v>
      </c>
      <c r="GW23" s="735">
        <v>20</v>
      </c>
      <c r="GX23" s="518" t="s">
        <v>427</v>
      </c>
      <c r="GY23" s="322" t="s">
        <v>402</v>
      </c>
      <c r="GZ23" s="924">
        <f>GB23</f>
        <v>0</v>
      </c>
      <c r="HA23" s="788">
        <f t="shared" si="83"/>
        <v>0</v>
      </c>
      <c r="HB23" s="922">
        <f t="shared" si="109"/>
        <v>0</v>
      </c>
      <c r="HC23" s="942">
        <f t="shared" si="85"/>
        <v>0</v>
      </c>
      <c r="HD23" s="858">
        <v>-1.3227962699602358E-3</v>
      </c>
      <c r="HE23" s="54"/>
      <c r="HH23" s="54"/>
      <c r="HI23" s="54"/>
      <c r="HJ23" s="54"/>
      <c r="HK23" s="54"/>
      <c r="HL23" s="54"/>
      <c r="HM23" s="54"/>
      <c r="HN23" s="54"/>
      <c r="HQ23" s="734">
        <v>20</v>
      </c>
      <c r="HR23" s="869">
        <v>20</v>
      </c>
      <c r="HS23" s="518" t="s">
        <v>427</v>
      </c>
      <c r="HT23" s="788">
        <f t="shared" si="86"/>
        <v>0</v>
      </c>
      <c r="HU23" s="917">
        <f t="shared" si="87"/>
        <v>0</v>
      </c>
      <c r="HV23" s="870"/>
      <c r="HW23" s="768"/>
      <c r="HX23" s="870">
        <v>-1.448607</v>
      </c>
      <c r="HY23" s="769">
        <v>10</v>
      </c>
      <c r="IP23" s="734">
        <v>20</v>
      </c>
      <c r="IQ23" s="869">
        <v>20</v>
      </c>
      <c r="IR23" s="518" t="s">
        <v>427</v>
      </c>
      <c r="IS23" s="913">
        <f t="shared" si="106"/>
        <v>0</v>
      </c>
      <c r="IT23" s="915">
        <f t="shared" si="88"/>
        <v>0</v>
      </c>
      <c r="IU23" s="919">
        <f t="shared" si="89"/>
        <v>0</v>
      </c>
      <c r="IV23" s="904">
        <v>0</v>
      </c>
      <c r="IW23" s="904">
        <f t="shared" si="91"/>
        <v>0</v>
      </c>
      <c r="IX23" s="913">
        <v>0</v>
      </c>
      <c r="IY23" s="882">
        <f t="shared" si="93"/>
        <v>0</v>
      </c>
      <c r="IZ23" s="928">
        <f t="shared" ref="IZ23:IZ24" si="118">IU23</f>
        <v>0</v>
      </c>
      <c r="JA23" s="929">
        <f>IZ23</f>
        <v>0</v>
      </c>
      <c r="JB23" s="913">
        <f t="shared" si="107"/>
        <v>0</v>
      </c>
      <c r="JC23" s="883">
        <v>0</v>
      </c>
      <c r="JG23" s="734">
        <v>20</v>
      </c>
      <c r="JH23" s="869">
        <v>20</v>
      </c>
      <c r="JI23" s="518" t="s">
        <v>427</v>
      </c>
      <c r="JJ23" s="788">
        <f t="shared" si="96"/>
        <v>0</v>
      </c>
      <c r="JK23" s="917">
        <f t="shared" si="97"/>
        <v>0</v>
      </c>
      <c r="JL23" s="870">
        <v>8.734</v>
      </c>
      <c r="JM23" s="768"/>
      <c r="JN23" s="870"/>
      <c r="JO23" s="769">
        <v>10</v>
      </c>
      <c r="JT23" s="936">
        <v>0</v>
      </c>
      <c r="JU23" s="936">
        <f t="shared" si="64"/>
        <v>0</v>
      </c>
      <c r="JV23" s="13">
        <v>0</v>
      </c>
      <c r="JW23" s="13">
        <f t="shared" si="65"/>
        <v>0</v>
      </c>
    </row>
    <row r="24" spans="3:294" x14ac:dyDescent="0.3">
      <c r="J24" s="756">
        <v>21</v>
      </c>
      <c r="K24" s="757">
        <v>21</v>
      </c>
      <c r="L24" s="732" t="s">
        <v>428</v>
      </c>
      <c r="M24" s="904"/>
      <c r="N24" s="944">
        <f t="shared" si="66"/>
        <v>0</v>
      </c>
      <c r="O24" s="753">
        <v>616.79999999999995</v>
      </c>
      <c r="P24" s="948">
        <f t="shared" si="67"/>
        <v>0</v>
      </c>
      <c r="Q24" s="733">
        <f t="shared" si="68"/>
        <v>0</v>
      </c>
      <c r="R24" s="758" t="s">
        <v>402</v>
      </c>
      <c r="V24" s="730">
        <f t="shared" si="98"/>
        <v>21</v>
      </c>
      <c r="W24" s="731">
        <f t="shared" si="0"/>
        <v>21</v>
      </c>
      <c r="X24" s="732" t="s">
        <v>428</v>
      </c>
      <c r="Y24" s="924">
        <f t="shared" si="69"/>
        <v>0</v>
      </c>
      <c r="Z24" s="944">
        <f t="shared" si="70"/>
        <v>0</v>
      </c>
      <c r="AD24" s="730">
        <v>21</v>
      </c>
      <c r="AE24" s="746">
        <v>21</v>
      </c>
      <c r="AF24" s="747" t="s">
        <v>428</v>
      </c>
      <c r="AG24" s="748">
        <v>5.0999999999999996</v>
      </c>
      <c r="AQ24" s="730">
        <f t="shared" si="71"/>
        <v>21</v>
      </c>
      <c r="AR24" s="783">
        <f t="shared" si="1"/>
        <v>21</v>
      </c>
      <c r="AS24" s="732" t="s">
        <v>428</v>
      </c>
      <c r="AT24" s="732">
        <f t="shared" si="2"/>
        <v>5.0999999999999996</v>
      </c>
      <c r="AU24" s="784">
        <f t="shared" si="72"/>
        <v>0</v>
      </c>
      <c r="AV24" s="784">
        <f t="shared" si="99"/>
        <v>0</v>
      </c>
      <c r="AW24" s="785">
        <f t="shared" si="3"/>
        <v>0</v>
      </c>
      <c r="AX24" s="786">
        <f t="shared" si="4"/>
        <v>18.336776074005567</v>
      </c>
      <c r="AY24" s="379">
        <f t="shared" si="108"/>
        <v>0</v>
      </c>
      <c r="AZ24" s="51">
        <f t="shared" si="73"/>
        <v>0</v>
      </c>
      <c r="BA24" s="53">
        <f t="shared" si="5"/>
        <v>0</v>
      </c>
      <c r="BL24" s="756">
        <f t="shared" si="100"/>
        <v>21</v>
      </c>
      <c r="BM24" s="758">
        <f t="shared" si="6"/>
        <v>21</v>
      </c>
      <c r="BN24" s="732" t="s">
        <v>428</v>
      </c>
      <c r="BO24" s="733">
        <f t="shared" si="7"/>
        <v>0</v>
      </c>
      <c r="BP24" s="379">
        <f t="shared" si="74"/>
        <v>0</v>
      </c>
      <c r="BQ24" s="733">
        <f t="shared" si="8"/>
        <v>0</v>
      </c>
      <c r="BR24" s="379">
        <f t="shared" si="75"/>
        <v>0</v>
      </c>
      <c r="BS24" s="807">
        <f t="shared" si="9"/>
        <v>0</v>
      </c>
      <c r="BT24" s="808">
        <f t="shared" si="10"/>
        <v>0</v>
      </c>
      <c r="BW24" s="1"/>
      <c r="BX24" s="10"/>
      <c r="BY24" s="10"/>
      <c r="BZ24" s="10"/>
      <c r="CA24" s="10"/>
      <c r="CB24" s="10"/>
      <c r="CC24" s="10"/>
      <c r="CD24" s="10"/>
      <c r="CE24" s="10"/>
      <c r="CI24" s="730">
        <f t="shared" si="101"/>
        <v>21</v>
      </c>
      <c r="CJ24" s="746">
        <f t="shared" si="12"/>
        <v>21</v>
      </c>
      <c r="CK24" s="732" t="s">
        <v>428</v>
      </c>
      <c r="CL24" s="733">
        <f t="shared" si="13"/>
        <v>0</v>
      </c>
      <c r="CM24" s="379">
        <f t="shared" si="14"/>
        <v>0</v>
      </c>
      <c r="CN24" s="733">
        <f t="shared" si="15"/>
        <v>0</v>
      </c>
      <c r="CO24" s="379">
        <f t="shared" si="16"/>
        <v>0</v>
      </c>
      <c r="CP24" s="379">
        <f t="shared" si="17"/>
        <v>0</v>
      </c>
      <c r="CQ24" s="733">
        <f t="shared" si="18"/>
        <v>0</v>
      </c>
      <c r="CR24" s="808">
        <f t="shared" si="19"/>
        <v>0</v>
      </c>
      <c r="DE24" s="1"/>
      <c r="DH24" s="730">
        <v>21</v>
      </c>
      <c r="DI24" s="840">
        <f t="shared" si="20"/>
        <v>21</v>
      </c>
      <c r="DJ24" s="732" t="s">
        <v>428</v>
      </c>
      <c r="DK24" s="733">
        <f t="shared" si="21"/>
        <v>0</v>
      </c>
      <c r="DL24" s="379">
        <f t="shared" si="77"/>
        <v>0</v>
      </c>
      <c r="DM24" s="733">
        <f t="shared" si="22"/>
        <v>0</v>
      </c>
      <c r="DN24" s="379">
        <f t="shared" si="23"/>
        <v>0</v>
      </c>
      <c r="DO24" s="733">
        <f t="shared" si="24"/>
        <v>0</v>
      </c>
      <c r="DP24" s="379">
        <f t="shared" si="25"/>
        <v>0</v>
      </c>
      <c r="DQ24" s="379">
        <f t="shared" si="78"/>
        <v>0</v>
      </c>
      <c r="DR24" s="733">
        <f t="shared" si="26"/>
        <v>0</v>
      </c>
      <c r="DS24" s="808">
        <f t="shared" si="27"/>
        <v>0</v>
      </c>
      <c r="DW24" s="730">
        <f t="shared" si="102"/>
        <v>21</v>
      </c>
      <c r="DX24" s="840">
        <f t="shared" si="28"/>
        <v>21</v>
      </c>
      <c r="DY24" s="732" t="s">
        <v>428</v>
      </c>
      <c r="DZ24" s="733">
        <f t="shared" si="29"/>
        <v>0</v>
      </c>
      <c r="EA24" s="379">
        <f t="shared" si="30"/>
        <v>0</v>
      </c>
      <c r="EB24" s="808">
        <f t="shared" si="31"/>
        <v>0</v>
      </c>
      <c r="EN24" s="730">
        <f t="shared" si="103"/>
        <v>21</v>
      </c>
      <c r="EO24" s="840">
        <f t="shared" si="32"/>
        <v>21</v>
      </c>
      <c r="EP24" s="732" t="s">
        <v>428</v>
      </c>
      <c r="EQ24" s="733">
        <f t="shared" si="33"/>
        <v>0</v>
      </c>
      <c r="ER24" s="379">
        <f t="shared" si="34"/>
        <v>0</v>
      </c>
      <c r="ES24" s="733">
        <f t="shared" si="35"/>
        <v>0</v>
      </c>
      <c r="ET24" s="379">
        <f t="shared" si="36"/>
        <v>0</v>
      </c>
      <c r="EU24" s="733">
        <f t="shared" si="37"/>
        <v>0</v>
      </c>
      <c r="EV24" s="379">
        <f t="shared" si="38"/>
        <v>0</v>
      </c>
      <c r="EW24" s="379">
        <f t="shared" si="39"/>
        <v>0</v>
      </c>
      <c r="EX24" s="733">
        <f t="shared" si="40"/>
        <v>0</v>
      </c>
      <c r="EY24" s="808">
        <f t="shared" si="41"/>
        <v>0</v>
      </c>
      <c r="FI24" s="730">
        <f t="shared" si="104"/>
        <v>21</v>
      </c>
      <c r="FJ24" s="731">
        <f t="shared" si="42"/>
        <v>21</v>
      </c>
      <c r="FK24" s="732" t="s">
        <v>428</v>
      </c>
      <c r="FL24" s="733">
        <f t="shared" si="43"/>
        <v>0</v>
      </c>
      <c r="FM24" s="379">
        <f t="shared" si="44"/>
        <v>0</v>
      </c>
      <c r="FN24" s="808">
        <f t="shared" si="45"/>
        <v>0</v>
      </c>
      <c r="FR24" s="730">
        <f t="shared" si="105"/>
        <v>21</v>
      </c>
      <c r="FS24" s="731">
        <v>21</v>
      </c>
      <c r="FT24" s="732" t="s">
        <v>428</v>
      </c>
      <c r="FU24" s="379">
        <f t="shared" si="46"/>
        <v>0</v>
      </c>
      <c r="FV24" s="379">
        <f>VLOOKUP(FS24,$BM$4:$BT$86,$FV$30,FALSE)</f>
        <v>0</v>
      </c>
      <c r="FW24" s="379">
        <f t="shared" si="48"/>
        <v>0</v>
      </c>
      <c r="FX24" s="379">
        <f t="shared" si="49"/>
        <v>0</v>
      </c>
      <c r="FY24" s="379">
        <f t="shared" si="50"/>
        <v>0</v>
      </c>
      <c r="FZ24" s="379">
        <f t="shared" si="51"/>
        <v>0</v>
      </c>
      <c r="GA24" s="379">
        <f t="shared" si="52"/>
        <v>0</v>
      </c>
      <c r="GB24" s="379">
        <f>SUM(FU24:GA24)</f>
        <v>0</v>
      </c>
      <c r="GC24" s="852">
        <f t="shared" si="54"/>
        <v>0</v>
      </c>
      <c r="GG24" s="730">
        <f t="shared" si="79"/>
        <v>21</v>
      </c>
      <c r="GH24" s="731">
        <f t="shared" si="55"/>
        <v>21</v>
      </c>
      <c r="GI24" s="732" t="s">
        <v>428</v>
      </c>
      <c r="GJ24" s="808">
        <f t="shared" si="56"/>
        <v>0</v>
      </c>
      <c r="GK24" s="808">
        <f t="shared" si="57"/>
        <v>0</v>
      </c>
      <c r="GL24" s="808">
        <f t="shared" si="58"/>
        <v>0</v>
      </c>
      <c r="GM24" s="808">
        <f t="shared" si="59"/>
        <v>0</v>
      </c>
      <c r="GN24" s="808">
        <f t="shared" si="60"/>
        <v>0</v>
      </c>
      <c r="GO24" s="808">
        <f t="shared" si="61"/>
        <v>0</v>
      </c>
      <c r="GP24" s="808">
        <f t="shared" si="62"/>
        <v>0</v>
      </c>
      <c r="GQ24" s="808">
        <f t="shared" si="63"/>
        <v>0</v>
      </c>
      <c r="GR24" s="784">
        <f t="shared" si="80"/>
        <v>0</v>
      </c>
      <c r="GS24" s="716"/>
      <c r="GV24" s="717">
        <f t="shared" si="81"/>
        <v>21</v>
      </c>
      <c r="GW24" s="731">
        <v>21</v>
      </c>
      <c r="GX24" s="732" t="s">
        <v>428</v>
      </c>
      <c r="GY24" s="758" t="s">
        <v>402</v>
      </c>
      <c r="GZ24" s="906">
        <f t="shared" si="82"/>
        <v>0</v>
      </c>
      <c r="HA24" s="784">
        <f t="shared" si="83"/>
        <v>0</v>
      </c>
      <c r="HB24" s="922">
        <f t="shared" si="109"/>
        <v>0</v>
      </c>
      <c r="HC24" s="942">
        <f t="shared" si="85"/>
        <v>0</v>
      </c>
      <c r="HD24" s="857">
        <v>-5.9903747751377523E-4</v>
      </c>
      <c r="HE24" s="54"/>
      <c r="HH24" s="54"/>
      <c r="HI24" s="54"/>
      <c r="HJ24" s="54"/>
      <c r="HK24" s="54"/>
      <c r="HL24" s="54"/>
      <c r="HM24" s="54"/>
      <c r="HN24" s="54"/>
      <c r="HQ24" s="730">
        <v>21</v>
      </c>
      <c r="HR24" s="867">
        <v>21</v>
      </c>
      <c r="HS24" s="732" t="s">
        <v>428</v>
      </c>
      <c r="HT24" s="784">
        <f t="shared" si="86"/>
        <v>0</v>
      </c>
      <c r="HU24" s="917">
        <f t="shared" si="87"/>
        <v>0</v>
      </c>
      <c r="HV24" s="868"/>
      <c r="HW24" s="765"/>
      <c r="HX24" s="868">
        <v>-1.6913859999999996</v>
      </c>
      <c r="HY24" s="766">
        <v>10</v>
      </c>
      <c r="IP24" s="730">
        <v>21</v>
      </c>
      <c r="IQ24" s="867">
        <v>21</v>
      </c>
      <c r="IR24" s="732" t="s">
        <v>428</v>
      </c>
      <c r="IS24" s="913">
        <f t="shared" si="106"/>
        <v>0</v>
      </c>
      <c r="IT24" s="915">
        <f t="shared" si="88"/>
        <v>0</v>
      </c>
      <c r="IU24" s="918">
        <f t="shared" si="89"/>
        <v>0</v>
      </c>
      <c r="IV24" s="904">
        <v>0</v>
      </c>
      <c r="IW24" s="904">
        <f t="shared" si="91"/>
        <v>0</v>
      </c>
      <c r="IX24" s="913">
        <v>0</v>
      </c>
      <c r="IY24" s="881">
        <f t="shared" si="93"/>
        <v>0</v>
      </c>
      <c r="IZ24" s="928">
        <f t="shared" si="118"/>
        <v>0</v>
      </c>
      <c r="JA24" s="928">
        <v>8.3326989999999999</v>
      </c>
      <c r="JB24" s="913">
        <f t="shared" si="107"/>
        <v>0</v>
      </c>
      <c r="JC24" s="852">
        <v>0</v>
      </c>
      <c r="JG24" s="730">
        <v>21</v>
      </c>
      <c r="JH24" s="867">
        <v>21</v>
      </c>
      <c r="JI24" s="732" t="s">
        <v>428</v>
      </c>
      <c r="JJ24" s="784">
        <f t="shared" si="96"/>
        <v>0</v>
      </c>
      <c r="JK24" s="917">
        <f t="shared" si="97"/>
        <v>0</v>
      </c>
      <c r="JL24" s="868">
        <v>10.023999999999999</v>
      </c>
      <c r="JM24" s="765"/>
      <c r="JN24" s="868"/>
      <c r="JO24" s="766">
        <v>10</v>
      </c>
      <c r="JT24" s="936">
        <v>5.1923509265402581</v>
      </c>
      <c r="JU24" s="936">
        <f t="shared" si="64"/>
        <v>5.1602541328410467E-4</v>
      </c>
      <c r="JV24" s="13">
        <v>97572642</v>
      </c>
      <c r="JW24" s="13">
        <f t="shared" si="65"/>
        <v>7111543.1915574968</v>
      </c>
    </row>
    <row r="25" spans="3:294" x14ac:dyDescent="0.3">
      <c r="J25" s="338">
        <v>22</v>
      </c>
      <c r="K25" s="759">
        <v>22</v>
      </c>
      <c r="L25" s="518" t="s">
        <v>429</v>
      </c>
      <c r="M25" s="904">
        <v>104684185.1915575</v>
      </c>
      <c r="N25" s="943">
        <f t="shared" si="66"/>
        <v>4.7496209561925413E-2</v>
      </c>
      <c r="O25" s="455">
        <v>1460.4614875157295</v>
      </c>
      <c r="P25" s="948">
        <f t="shared" si="67"/>
        <v>71678.839932730523</v>
      </c>
      <c r="Q25" s="659">
        <f t="shared" si="68"/>
        <v>4.0595384986630109E-2</v>
      </c>
      <c r="R25" s="322" t="s">
        <v>397</v>
      </c>
      <c r="V25" s="734">
        <f t="shared" si="98"/>
        <v>22</v>
      </c>
      <c r="W25" s="735">
        <f t="shared" si="0"/>
        <v>22</v>
      </c>
      <c r="X25" s="518" t="s">
        <v>429</v>
      </c>
      <c r="Y25" s="924">
        <f t="shared" si="69"/>
        <v>4199860.0906704012</v>
      </c>
      <c r="Z25" s="943">
        <f t="shared" si="70"/>
        <v>5.0181488136412482E-2</v>
      </c>
      <c r="AD25" s="734">
        <v>22</v>
      </c>
      <c r="AE25" s="146">
        <v>22</v>
      </c>
      <c r="AF25" s="347" t="s">
        <v>429</v>
      </c>
      <c r="AG25" s="369">
        <v>3.68</v>
      </c>
      <c r="AQ25" s="734">
        <f t="shared" si="71"/>
        <v>22</v>
      </c>
      <c r="AR25" s="787">
        <f t="shared" si="1"/>
        <v>22</v>
      </c>
      <c r="AS25" s="518" t="s">
        <v>429</v>
      </c>
      <c r="AT25" s="518">
        <f t="shared" si="2"/>
        <v>3.68</v>
      </c>
      <c r="AU25" s="788">
        <f t="shared" si="72"/>
        <v>104684185.1915575</v>
      </c>
      <c r="AV25" s="788">
        <f t="shared" si="99"/>
        <v>107010.50041803656</v>
      </c>
      <c r="AW25" s="789">
        <f t="shared" si="3"/>
        <v>110751.72244095143</v>
      </c>
      <c r="AX25" s="790">
        <f t="shared" si="4"/>
        <v>18.336776074005567</v>
      </c>
      <c r="AY25" s="358">
        <f t="shared" si="108"/>
        <v>2030829.5342101436</v>
      </c>
      <c r="AZ25" s="35">
        <f t="shared" si="73"/>
        <v>5.6249783044813498E-2</v>
      </c>
      <c r="BA25" s="55">
        <f t="shared" si="5"/>
        <v>1.9399580000000001</v>
      </c>
      <c r="BL25" s="338">
        <f t="shared" si="100"/>
        <v>22</v>
      </c>
      <c r="BM25" s="322">
        <f t="shared" si="6"/>
        <v>22</v>
      </c>
      <c r="BN25" s="518" t="s">
        <v>429</v>
      </c>
      <c r="BO25" s="659">
        <f t="shared" si="7"/>
        <v>5.6249783044813498E-2</v>
      </c>
      <c r="BP25" s="358">
        <f t="shared" si="74"/>
        <v>441875.73555381561</v>
      </c>
      <c r="BQ25" s="659">
        <f t="shared" si="8"/>
        <v>4.7496209561925413E-2</v>
      </c>
      <c r="BR25" s="358">
        <f t="shared" si="75"/>
        <v>373111.17305952177</v>
      </c>
      <c r="BS25" s="809">
        <f t="shared" si="9"/>
        <v>814986.90861333744</v>
      </c>
      <c r="BT25" s="810">
        <f t="shared" si="10"/>
        <v>0.77851999999999999</v>
      </c>
      <c r="BW25" s="1"/>
      <c r="BX25" s="10"/>
      <c r="BY25" s="10"/>
      <c r="BZ25" s="10"/>
      <c r="CA25" s="10"/>
      <c r="CB25" s="10"/>
      <c r="CC25" s="10"/>
      <c r="CD25" s="10"/>
      <c r="CE25" s="10"/>
      <c r="CI25" s="734">
        <f t="shared" si="101"/>
        <v>22</v>
      </c>
      <c r="CJ25" s="146">
        <f t="shared" si="12"/>
        <v>22</v>
      </c>
      <c r="CK25" s="518" t="s">
        <v>429</v>
      </c>
      <c r="CL25" s="344">
        <f t="shared" si="13"/>
        <v>4.7496209561925413E-2</v>
      </c>
      <c r="CM25" s="20">
        <f t="shared" si="14"/>
        <v>254306.11100497705</v>
      </c>
      <c r="CN25" s="344">
        <f t="shared" si="15"/>
        <v>4.0595384986630109E-2</v>
      </c>
      <c r="CO25" s="20">
        <f t="shared" si="16"/>
        <v>706405.48772435554</v>
      </c>
      <c r="CP25" s="20">
        <f t="shared" si="17"/>
        <v>960711.59872933256</v>
      </c>
      <c r="CQ25" s="344">
        <f t="shared" si="18"/>
        <v>4.2219119295707166E-2</v>
      </c>
      <c r="CR25" s="342">
        <f t="shared" si="19"/>
        <v>0.91772399999999998</v>
      </c>
      <c r="DE25" s="1"/>
      <c r="DH25" s="734">
        <v>22</v>
      </c>
      <c r="DI25" s="745">
        <f t="shared" si="20"/>
        <v>22</v>
      </c>
      <c r="DJ25" s="518" t="s">
        <v>429</v>
      </c>
      <c r="DK25" s="344">
        <f t="shared" si="21"/>
        <v>4.2219119295707166E-2</v>
      </c>
      <c r="DL25" s="20">
        <f t="shared" si="77"/>
        <v>13338.204209371506</v>
      </c>
      <c r="DM25" s="344">
        <f t="shared" si="22"/>
        <v>4.0595384986630109E-2</v>
      </c>
      <c r="DN25" s="20">
        <f t="shared" si="23"/>
        <v>79372.239965776214</v>
      </c>
      <c r="DO25" s="344">
        <f t="shared" si="24"/>
        <v>4.7496209561925413E-2</v>
      </c>
      <c r="DP25" s="20">
        <f t="shared" si="25"/>
        <v>154615.3830411575</v>
      </c>
      <c r="DQ25" s="20">
        <f t="shared" si="78"/>
        <v>247325.82721630522</v>
      </c>
      <c r="DR25" s="344">
        <f t="shared" si="26"/>
        <v>4.4753093854896994E-2</v>
      </c>
      <c r="DS25" s="342">
        <f t="shared" si="27"/>
        <v>0.236259</v>
      </c>
      <c r="DW25" s="734">
        <f t="shared" si="102"/>
        <v>22</v>
      </c>
      <c r="DX25" s="745">
        <f t="shared" si="28"/>
        <v>22</v>
      </c>
      <c r="DY25" s="518" t="s">
        <v>429</v>
      </c>
      <c r="DZ25" s="344">
        <f t="shared" si="29"/>
        <v>4.0595384986630109E-2</v>
      </c>
      <c r="EA25" s="20">
        <f t="shared" si="30"/>
        <v>146006.22190128313</v>
      </c>
      <c r="EB25" s="342">
        <f t="shared" si="31"/>
        <v>0.13947300000000001</v>
      </c>
      <c r="EN25" s="734">
        <f t="shared" si="103"/>
        <v>22</v>
      </c>
      <c r="EO25" s="745">
        <f t="shared" si="32"/>
        <v>22</v>
      </c>
      <c r="EP25" s="518" t="s">
        <v>429</v>
      </c>
      <c r="EQ25" s="344">
        <f t="shared" si="33"/>
        <v>5.0181488136412482E-2</v>
      </c>
      <c r="ER25" s="20">
        <f t="shared" si="34"/>
        <v>359180.97939292307</v>
      </c>
      <c r="ES25" s="344">
        <f t="shared" si="35"/>
        <v>4.2219119295707166E-2</v>
      </c>
      <c r="ET25" s="20">
        <f t="shared" si="36"/>
        <v>40743.448092272978</v>
      </c>
      <c r="EU25" s="344">
        <f t="shared" si="37"/>
        <v>4.7496209561925413E-2</v>
      </c>
      <c r="EV25" s="20">
        <f t="shared" si="38"/>
        <v>122802.34489353858</v>
      </c>
      <c r="EW25" s="20">
        <f t="shared" si="39"/>
        <v>522726.7723787346</v>
      </c>
      <c r="EX25" s="344">
        <f t="shared" si="40"/>
        <v>4.8815535505489061E-2</v>
      </c>
      <c r="EY25" s="342">
        <f t="shared" si="41"/>
        <v>0.49933699999999998</v>
      </c>
      <c r="FI25" s="734">
        <f t="shared" si="104"/>
        <v>22</v>
      </c>
      <c r="FJ25" s="735">
        <f t="shared" si="42"/>
        <v>22</v>
      </c>
      <c r="FK25" s="518" t="s">
        <v>429</v>
      </c>
      <c r="FL25" s="344">
        <f t="shared" si="43"/>
        <v>5.0181488136412482E-2</v>
      </c>
      <c r="FM25" s="20">
        <f t="shared" si="44"/>
        <v>943092.24843461113</v>
      </c>
      <c r="FN25" s="342">
        <f t="shared" si="45"/>
        <v>0.90089300000000005</v>
      </c>
      <c r="FR25" s="734">
        <f t="shared" si="105"/>
        <v>22</v>
      </c>
      <c r="FS25" s="735">
        <v>22</v>
      </c>
      <c r="FT25" s="518" t="s">
        <v>429</v>
      </c>
      <c r="FU25" s="20">
        <f t="shared" si="46"/>
        <v>2030829.5342101436</v>
      </c>
      <c r="FV25" s="20">
        <f t="shared" si="47"/>
        <v>814986.90861333744</v>
      </c>
      <c r="FW25" s="20">
        <f t="shared" si="48"/>
        <v>960711.59872933256</v>
      </c>
      <c r="FX25" s="20">
        <f t="shared" si="49"/>
        <v>247325.82721630522</v>
      </c>
      <c r="FY25" s="20">
        <f t="shared" si="50"/>
        <v>146006.22190128313</v>
      </c>
      <c r="FZ25" s="20">
        <f t="shared" si="51"/>
        <v>522726.7723787346</v>
      </c>
      <c r="GA25" s="20">
        <f t="shared" si="52"/>
        <v>943092.24843461113</v>
      </c>
      <c r="GB25" s="20">
        <f t="shared" ref="GB25:GB27" si="119">SUM(FU25:GA25)</f>
        <v>5665679.1114837471</v>
      </c>
      <c r="GC25" s="414">
        <f t="shared" si="54"/>
        <v>5.4121629999999996</v>
      </c>
      <c r="GG25" s="734">
        <f t="shared" si="79"/>
        <v>22</v>
      </c>
      <c r="GH25" s="735">
        <f t="shared" si="55"/>
        <v>22</v>
      </c>
      <c r="GI25" s="518" t="s">
        <v>429</v>
      </c>
      <c r="GJ25" s="342">
        <f t="shared" si="56"/>
        <v>1.9399580000000001</v>
      </c>
      <c r="GK25" s="342">
        <f t="shared" si="57"/>
        <v>0.77851999999999999</v>
      </c>
      <c r="GL25" s="342">
        <f t="shared" si="58"/>
        <v>0.91772399999999998</v>
      </c>
      <c r="GM25" s="342">
        <f t="shared" si="59"/>
        <v>0.236259</v>
      </c>
      <c r="GN25" s="342">
        <f t="shared" si="60"/>
        <v>0.13947300000000001</v>
      </c>
      <c r="GO25" s="342">
        <f t="shared" si="61"/>
        <v>0.49933699999999998</v>
      </c>
      <c r="GP25" s="342">
        <f t="shared" si="62"/>
        <v>0.90089300000000005</v>
      </c>
      <c r="GQ25" s="342">
        <f t="shared" si="63"/>
        <v>5.4121629999999996</v>
      </c>
      <c r="GR25" s="788">
        <f t="shared" si="80"/>
        <v>104684185.1915575</v>
      </c>
      <c r="GS25" s="716"/>
      <c r="GV25" s="718">
        <f t="shared" si="81"/>
        <v>22</v>
      </c>
      <c r="GW25" s="735">
        <v>22</v>
      </c>
      <c r="GX25" s="518" t="s">
        <v>429</v>
      </c>
      <c r="GY25" s="322" t="s">
        <v>397</v>
      </c>
      <c r="GZ25" s="924">
        <f t="shared" si="82"/>
        <v>5665679.1114837471</v>
      </c>
      <c r="HA25" s="788">
        <f t="shared" si="83"/>
        <v>104684185.1915575</v>
      </c>
      <c r="HB25" s="922">
        <f t="shared" si="109"/>
        <v>5.4121629999999996</v>
      </c>
      <c r="HC25" s="942">
        <f t="shared" si="85"/>
        <v>5665678.7377889538</v>
      </c>
      <c r="HD25" s="858">
        <v>0.21602247189730406</v>
      </c>
      <c r="HE25" s="54"/>
      <c r="HH25" s="54"/>
      <c r="HI25" s="54"/>
      <c r="HJ25" s="54"/>
      <c r="HK25" s="54"/>
      <c r="HL25" s="54"/>
      <c r="HM25" s="54"/>
      <c r="HN25" s="54"/>
      <c r="HQ25" s="734">
        <v>22</v>
      </c>
      <c r="HR25" s="869">
        <v>22</v>
      </c>
      <c r="HS25" s="518" t="s">
        <v>429</v>
      </c>
      <c r="HT25" s="788">
        <f t="shared" si="86"/>
        <v>104684185.1915575</v>
      </c>
      <c r="HU25" s="917">
        <f t="shared" si="87"/>
        <v>5.4121629999999996</v>
      </c>
      <c r="HV25" s="870"/>
      <c r="HW25" s="768"/>
      <c r="HX25" s="870">
        <v>-1.3005939999999994</v>
      </c>
      <c r="HY25" s="769">
        <v>10</v>
      </c>
      <c r="IP25" s="734">
        <v>22</v>
      </c>
      <c r="IQ25" s="869">
        <v>22</v>
      </c>
      <c r="IR25" s="518" t="s">
        <v>429</v>
      </c>
      <c r="IS25" s="913">
        <f t="shared" si="106"/>
        <v>5665678.7377889538</v>
      </c>
      <c r="IT25" s="915">
        <f t="shared" si="88"/>
        <v>104684185.1915575</v>
      </c>
      <c r="IU25" s="919">
        <f t="shared" si="89"/>
        <v>5.4121629999999996</v>
      </c>
      <c r="IV25" s="904">
        <f t="shared" ref="IV25:IV26" si="120">IT25*$IK$4/(1-$IL$4)</f>
        <v>15304552.07031472</v>
      </c>
      <c r="IW25" s="904">
        <f t="shared" si="91"/>
        <v>89379633.121242777</v>
      </c>
      <c r="IX25" s="913">
        <f t="shared" ref="IX25:IX26" si="121">IV25*$II$4</f>
        <v>229568.28105472081</v>
      </c>
      <c r="IY25" s="882">
        <f t="shared" si="93"/>
        <v>5436110.4567342326</v>
      </c>
      <c r="IZ25" s="928">
        <f t="shared" ref="IZ25:IZ26" si="122">100*IY25/IT25</f>
        <v>5.1928669519535422</v>
      </c>
      <c r="JA25" s="928">
        <f t="shared" ref="JA25:JA26" si="123">IZ25+1.5</f>
        <v>6.6928669519535422</v>
      </c>
      <c r="JB25" s="913">
        <f t="shared" si="107"/>
        <v>5665678.7377889538</v>
      </c>
      <c r="JC25" s="414">
        <v>0.22223330814769415</v>
      </c>
      <c r="JG25" s="734">
        <v>22</v>
      </c>
      <c r="JH25" s="869">
        <v>22</v>
      </c>
      <c r="JI25" s="518" t="s">
        <v>429</v>
      </c>
      <c r="JJ25" s="788">
        <f t="shared" si="96"/>
        <v>104684185.1915575</v>
      </c>
      <c r="JK25" s="917">
        <f t="shared" si="97"/>
        <v>5.1928669519535422</v>
      </c>
      <c r="JL25" s="870">
        <v>6.5339999999999998</v>
      </c>
      <c r="JM25" s="768"/>
      <c r="JN25" s="870"/>
      <c r="JO25" s="769">
        <v>10</v>
      </c>
      <c r="JT25" s="936">
        <v>16.515133926540258</v>
      </c>
      <c r="JU25" s="936">
        <f t="shared" si="64"/>
        <v>-8.229745867147642E-4</v>
      </c>
      <c r="JV25" s="13">
        <v>578417</v>
      </c>
      <c r="JW25" s="13">
        <f t="shared" si="65"/>
        <v>30151.758079007268</v>
      </c>
    </row>
    <row r="26" spans="3:294" x14ac:dyDescent="0.3">
      <c r="J26" s="756">
        <v>23</v>
      </c>
      <c r="K26" s="757">
        <v>23</v>
      </c>
      <c r="L26" s="732" t="s">
        <v>430</v>
      </c>
      <c r="M26" s="904">
        <v>608568.75807900727</v>
      </c>
      <c r="N26" s="944">
        <f t="shared" si="66"/>
        <v>2.761134283432557E-4</v>
      </c>
      <c r="O26" s="753">
        <v>244.63589743589745</v>
      </c>
      <c r="P26" s="948">
        <f t="shared" si="67"/>
        <v>2487.6510947804463</v>
      </c>
      <c r="Q26" s="733">
        <f t="shared" si="68"/>
        <v>1.408883765415274E-3</v>
      </c>
      <c r="R26" s="758" t="s">
        <v>397</v>
      </c>
      <c r="V26" s="730">
        <f t="shared" si="98"/>
        <v>23</v>
      </c>
      <c r="W26" s="731">
        <f t="shared" si="0"/>
        <v>23</v>
      </c>
      <c r="X26" s="732" t="s">
        <v>430</v>
      </c>
      <c r="Y26" s="924">
        <f t="shared" si="69"/>
        <v>76346.132941868709</v>
      </c>
      <c r="Z26" s="944">
        <f t="shared" si="70"/>
        <v>9.1221195034423312E-4</v>
      </c>
      <c r="AD26" s="730">
        <v>23</v>
      </c>
      <c r="AE26" s="746">
        <v>23</v>
      </c>
      <c r="AF26" s="747" t="s">
        <v>430</v>
      </c>
      <c r="AG26" s="748">
        <v>10.01</v>
      </c>
      <c r="AQ26" s="730">
        <f t="shared" si="71"/>
        <v>23</v>
      </c>
      <c r="AR26" s="783">
        <f t="shared" si="1"/>
        <v>23</v>
      </c>
      <c r="AS26" s="732" t="s">
        <v>430</v>
      </c>
      <c r="AT26" s="732">
        <f t="shared" si="2"/>
        <v>10.01</v>
      </c>
      <c r="AU26" s="784">
        <f t="shared" si="72"/>
        <v>608568.75807900727</v>
      </c>
      <c r="AV26" s="784">
        <f t="shared" si="99"/>
        <v>1692.1592412141285</v>
      </c>
      <c r="AW26" s="785">
        <f t="shared" si="3"/>
        <v>1751.3192619109591</v>
      </c>
      <c r="AX26" s="786">
        <f t="shared" si="4"/>
        <v>18.336776074005567</v>
      </c>
      <c r="AY26" s="379">
        <f t="shared" si="108"/>
        <v>32113.549139753963</v>
      </c>
      <c r="AZ26" s="51">
        <f t="shared" si="73"/>
        <v>8.8947897471496951E-4</v>
      </c>
      <c r="BA26" s="53">
        <f t="shared" si="5"/>
        <v>5.2768969999999999</v>
      </c>
      <c r="BL26" s="756">
        <f t="shared" si="100"/>
        <v>23</v>
      </c>
      <c r="BM26" s="758">
        <f t="shared" si="6"/>
        <v>23</v>
      </c>
      <c r="BN26" s="732" t="s">
        <v>430</v>
      </c>
      <c r="BO26" s="733">
        <f t="shared" si="7"/>
        <v>8.8947897471496951E-4</v>
      </c>
      <c r="BP26" s="379">
        <f t="shared" si="74"/>
        <v>6987.3900828862133</v>
      </c>
      <c r="BQ26" s="733">
        <f t="shared" si="8"/>
        <v>2.761134283432557E-4</v>
      </c>
      <c r="BR26" s="379">
        <f t="shared" si="75"/>
        <v>2169.0363525181915</v>
      </c>
      <c r="BS26" s="807">
        <f t="shared" si="9"/>
        <v>9156.4264354044044</v>
      </c>
      <c r="BT26" s="808">
        <f t="shared" si="10"/>
        <v>1.5045839999999999</v>
      </c>
      <c r="BW26" s="1"/>
      <c r="BX26" s="10"/>
      <c r="BY26" s="10"/>
      <c r="BZ26" s="10"/>
      <c r="CA26" s="10"/>
      <c r="CB26" s="10"/>
      <c r="CC26" s="10"/>
      <c r="CD26" s="10"/>
      <c r="CE26" s="10"/>
      <c r="CI26" s="730">
        <f t="shared" si="101"/>
        <v>23</v>
      </c>
      <c r="CJ26" s="746">
        <f t="shared" si="12"/>
        <v>23</v>
      </c>
      <c r="CK26" s="732" t="s">
        <v>430</v>
      </c>
      <c r="CL26" s="733">
        <f t="shared" si="13"/>
        <v>2.761134283432557E-4</v>
      </c>
      <c r="CM26" s="379">
        <f t="shared" si="14"/>
        <v>1478.3775969885685</v>
      </c>
      <c r="CN26" s="733">
        <f t="shared" si="15"/>
        <v>1.408883765415274E-3</v>
      </c>
      <c r="CO26" s="379">
        <f t="shared" si="16"/>
        <v>24516.166647585229</v>
      </c>
      <c r="CP26" s="379">
        <f t="shared" si="17"/>
        <v>25994.544244573797</v>
      </c>
      <c r="CQ26" s="733">
        <f t="shared" si="18"/>
        <v>1.1423477825715266E-3</v>
      </c>
      <c r="CR26" s="808">
        <f t="shared" si="19"/>
        <v>4.2714230000000004</v>
      </c>
      <c r="DE26" s="1"/>
      <c r="DH26" s="730">
        <v>23</v>
      </c>
      <c r="DI26" s="840">
        <f t="shared" si="20"/>
        <v>23</v>
      </c>
      <c r="DJ26" s="732" t="s">
        <v>430</v>
      </c>
      <c r="DK26" s="733">
        <f t="shared" si="21"/>
        <v>1.1423477825715266E-3</v>
      </c>
      <c r="DL26" s="379">
        <f t="shared" si="77"/>
        <v>360.89971217402979</v>
      </c>
      <c r="DM26" s="733">
        <f t="shared" si="22"/>
        <v>1.408883765415274E-3</v>
      </c>
      <c r="DN26" s="379">
        <f t="shared" si="23"/>
        <v>2754.6545093551131</v>
      </c>
      <c r="DO26" s="733">
        <f t="shared" si="24"/>
        <v>2.761134283432557E-4</v>
      </c>
      <c r="DP26" s="379">
        <f t="shared" si="25"/>
        <v>898.83769420460339</v>
      </c>
      <c r="DQ26" s="379">
        <f t="shared" si="78"/>
        <v>4014.3919157337464</v>
      </c>
      <c r="DR26" s="733">
        <f t="shared" si="26"/>
        <v>7.2639586490920287E-4</v>
      </c>
      <c r="DS26" s="808">
        <f t="shared" si="27"/>
        <v>0.65964500000000004</v>
      </c>
      <c r="DW26" s="730">
        <f t="shared" si="102"/>
        <v>23</v>
      </c>
      <c r="DX26" s="840">
        <f t="shared" si="28"/>
        <v>23</v>
      </c>
      <c r="DY26" s="732" t="s">
        <v>430</v>
      </c>
      <c r="DZ26" s="733">
        <f t="shared" si="29"/>
        <v>1.408883765415274E-3</v>
      </c>
      <c r="EA26" s="379">
        <f t="shared" si="30"/>
        <v>5067.2212064027981</v>
      </c>
      <c r="EB26" s="808">
        <f t="shared" si="31"/>
        <v>0.832646</v>
      </c>
      <c r="EN26" s="730">
        <f t="shared" si="103"/>
        <v>23</v>
      </c>
      <c r="EO26" s="840">
        <f t="shared" si="32"/>
        <v>23</v>
      </c>
      <c r="EP26" s="732" t="s">
        <v>430</v>
      </c>
      <c r="EQ26" s="733">
        <f t="shared" si="33"/>
        <v>9.1221195034423312E-4</v>
      </c>
      <c r="ER26" s="379">
        <f t="shared" si="34"/>
        <v>6529.2838834889544</v>
      </c>
      <c r="ES26" s="733">
        <f t="shared" si="35"/>
        <v>1.1423477825715266E-3</v>
      </c>
      <c r="ET26" s="379">
        <f t="shared" si="36"/>
        <v>1102.4196704941364</v>
      </c>
      <c r="EU26" s="733">
        <f t="shared" si="37"/>
        <v>2.761134283432557E-4</v>
      </c>
      <c r="EV26" s="379">
        <f t="shared" si="38"/>
        <v>713.89647236875828</v>
      </c>
      <c r="EW26" s="379">
        <f t="shared" si="39"/>
        <v>8345.600026351849</v>
      </c>
      <c r="EX26" s="733">
        <f t="shared" si="40"/>
        <v>7.79364968331518E-4</v>
      </c>
      <c r="EY26" s="808">
        <f t="shared" si="41"/>
        <v>1.3713489999999999</v>
      </c>
      <c r="FI26" s="730">
        <f t="shared" si="104"/>
        <v>23</v>
      </c>
      <c r="FJ26" s="731">
        <f t="shared" si="42"/>
        <v>23</v>
      </c>
      <c r="FK26" s="732" t="s">
        <v>430</v>
      </c>
      <c r="FL26" s="733">
        <f t="shared" si="43"/>
        <v>9.1221195034423312E-4</v>
      </c>
      <c r="FM26" s="379">
        <f t="shared" si="44"/>
        <v>17143.772559323872</v>
      </c>
      <c r="FN26" s="808">
        <f t="shared" si="45"/>
        <v>2.8170639999999998</v>
      </c>
      <c r="FR26" s="730">
        <f t="shared" si="105"/>
        <v>23</v>
      </c>
      <c r="FS26" s="731">
        <v>23</v>
      </c>
      <c r="FT26" s="732" t="s">
        <v>430</v>
      </c>
      <c r="FU26" s="379">
        <f t="shared" si="46"/>
        <v>32113.549139753963</v>
      </c>
      <c r="FV26" s="379">
        <f t="shared" si="47"/>
        <v>9156.4264354044044</v>
      </c>
      <c r="FW26" s="379">
        <f t="shared" si="48"/>
        <v>25994.544244573797</v>
      </c>
      <c r="FX26" s="379">
        <f t="shared" si="49"/>
        <v>4014.3919157337464</v>
      </c>
      <c r="FY26" s="379">
        <f t="shared" si="50"/>
        <v>5067.2212064027981</v>
      </c>
      <c r="FZ26" s="379">
        <f t="shared" si="51"/>
        <v>8345.600026351849</v>
      </c>
      <c r="GA26" s="379">
        <f t="shared" si="52"/>
        <v>17143.772559323872</v>
      </c>
      <c r="GB26" s="379">
        <f t="shared" si="119"/>
        <v>101835.50552754443</v>
      </c>
      <c r="GC26" s="852">
        <f t="shared" si="54"/>
        <v>16.733606999999999</v>
      </c>
      <c r="GG26" s="730">
        <f t="shared" si="79"/>
        <v>23</v>
      </c>
      <c r="GH26" s="731">
        <f t="shared" si="55"/>
        <v>23</v>
      </c>
      <c r="GI26" s="732" t="s">
        <v>430</v>
      </c>
      <c r="GJ26" s="808">
        <f t="shared" si="56"/>
        <v>5.2768969999999999</v>
      </c>
      <c r="GK26" s="808">
        <f t="shared" si="57"/>
        <v>1.5045839999999999</v>
      </c>
      <c r="GL26" s="808">
        <f t="shared" si="58"/>
        <v>4.2714230000000004</v>
      </c>
      <c r="GM26" s="808">
        <f t="shared" si="59"/>
        <v>0.65964500000000004</v>
      </c>
      <c r="GN26" s="808">
        <f t="shared" si="60"/>
        <v>0.832646</v>
      </c>
      <c r="GO26" s="808">
        <f t="shared" si="61"/>
        <v>1.3713489999999999</v>
      </c>
      <c r="GP26" s="808">
        <f t="shared" si="62"/>
        <v>2.8170639999999998</v>
      </c>
      <c r="GQ26" s="808">
        <f t="shared" si="63"/>
        <v>16.733606999999999</v>
      </c>
      <c r="GR26" s="784">
        <f t="shared" si="80"/>
        <v>608568.75807900727</v>
      </c>
      <c r="GS26" s="716"/>
      <c r="GV26" s="717">
        <f t="shared" si="81"/>
        <v>23</v>
      </c>
      <c r="GW26" s="731">
        <v>23</v>
      </c>
      <c r="GX26" s="732" t="s">
        <v>430</v>
      </c>
      <c r="GY26" s="758" t="s">
        <v>397</v>
      </c>
      <c r="GZ26" s="906">
        <f t="shared" si="82"/>
        <v>101835.50552754443</v>
      </c>
      <c r="HA26" s="784">
        <f t="shared" si="83"/>
        <v>608568.75807900727</v>
      </c>
      <c r="HB26" s="922">
        <f t="shared" si="109"/>
        <v>16.733606999999999</v>
      </c>
      <c r="HC26" s="942">
        <f t="shared" si="85"/>
        <v>101835.50430172183</v>
      </c>
      <c r="HD26" s="857">
        <v>-1.6334650717908517E-3</v>
      </c>
      <c r="HE26" s="54"/>
      <c r="HH26" s="54"/>
      <c r="HI26" s="54"/>
      <c r="HJ26" s="54"/>
      <c r="HK26" s="54"/>
      <c r="HL26" s="54"/>
      <c r="HM26" s="54"/>
      <c r="HN26" s="54"/>
      <c r="HQ26" s="730">
        <v>23</v>
      </c>
      <c r="HR26" s="867">
        <v>23</v>
      </c>
      <c r="HS26" s="732" t="s">
        <v>430</v>
      </c>
      <c r="HT26" s="784">
        <f t="shared" si="86"/>
        <v>608568.75807900727</v>
      </c>
      <c r="HU26" s="917">
        <f t="shared" si="87"/>
        <v>16.733606999999999</v>
      </c>
      <c r="HV26" s="868"/>
      <c r="HW26" s="765"/>
      <c r="HX26" s="868">
        <v>-2.4698649999999986</v>
      </c>
      <c r="HY26" s="766">
        <v>25</v>
      </c>
      <c r="IP26" s="730">
        <v>23</v>
      </c>
      <c r="IQ26" s="867">
        <v>23</v>
      </c>
      <c r="IR26" s="732" t="s">
        <v>430</v>
      </c>
      <c r="IS26" s="913">
        <f t="shared" si="106"/>
        <v>101835.50430172183</v>
      </c>
      <c r="IT26" s="915">
        <f t="shared" si="88"/>
        <v>608568.75807900727</v>
      </c>
      <c r="IU26" s="918">
        <f t="shared" si="89"/>
        <v>16.733606999999999</v>
      </c>
      <c r="IV26" s="904">
        <f t="shared" si="120"/>
        <v>88971.149074178087</v>
      </c>
      <c r="IW26" s="904">
        <f t="shared" si="91"/>
        <v>519597.6090048292</v>
      </c>
      <c r="IX26" s="913">
        <f t="shared" si="121"/>
        <v>1334.5672361126713</v>
      </c>
      <c r="IY26" s="881">
        <f t="shared" si="93"/>
        <v>100500.93706560915</v>
      </c>
      <c r="IZ26" s="928">
        <f t="shared" si="122"/>
        <v>16.514310951953544</v>
      </c>
      <c r="JA26" s="928">
        <f t="shared" si="123"/>
        <v>18.014310951953544</v>
      </c>
      <c r="JB26" s="913">
        <f t="shared" si="107"/>
        <v>101835.50430172184</v>
      </c>
      <c r="JC26" s="852">
        <v>0.2222328177184707</v>
      </c>
      <c r="JG26" s="730">
        <v>23</v>
      </c>
      <c r="JH26" s="867">
        <v>23</v>
      </c>
      <c r="JI26" s="732" t="s">
        <v>430</v>
      </c>
      <c r="JJ26" s="784">
        <f t="shared" si="96"/>
        <v>608568.75807900727</v>
      </c>
      <c r="JK26" s="917">
        <f t="shared" si="97"/>
        <v>16.514310951953544</v>
      </c>
      <c r="JL26" s="868">
        <v>19.138999999999999</v>
      </c>
      <c r="JM26" s="765"/>
      <c r="JN26" s="868"/>
      <c r="JO26" s="766">
        <v>25</v>
      </c>
      <c r="JT26" s="936">
        <v>0</v>
      </c>
      <c r="JU26" s="936">
        <f t="shared" si="64"/>
        <v>0</v>
      </c>
      <c r="JV26" s="13">
        <v>0</v>
      </c>
      <c r="JW26" s="13">
        <f t="shared" si="65"/>
        <v>0</v>
      </c>
    </row>
    <row r="27" spans="3:294" ht="17.25" thickBot="1" x14ac:dyDescent="0.35">
      <c r="J27" s="456">
        <v>24</v>
      </c>
      <c r="K27" s="760">
        <v>24</v>
      </c>
      <c r="L27" s="565" t="s">
        <v>431</v>
      </c>
      <c r="M27" s="905"/>
      <c r="N27" s="945">
        <f t="shared" si="66"/>
        <v>0</v>
      </c>
      <c r="O27" s="754">
        <v>576</v>
      </c>
      <c r="P27" s="949">
        <f t="shared" si="67"/>
        <v>0</v>
      </c>
      <c r="Q27" s="697">
        <f t="shared" si="68"/>
        <v>0</v>
      </c>
      <c r="R27" s="553" t="s">
        <v>402</v>
      </c>
      <c r="V27" s="736">
        <f t="shared" si="98"/>
        <v>24</v>
      </c>
      <c r="W27" s="737">
        <f t="shared" si="0"/>
        <v>24</v>
      </c>
      <c r="X27" s="565" t="s">
        <v>431</v>
      </c>
      <c r="Y27" s="924">
        <f t="shared" si="69"/>
        <v>0</v>
      </c>
      <c r="Z27" s="945">
        <f t="shared" si="70"/>
        <v>0</v>
      </c>
      <c r="AD27" s="749">
        <v>24</v>
      </c>
      <c r="AE27" s="750">
        <v>24</v>
      </c>
      <c r="AF27" s="751" t="s">
        <v>431</v>
      </c>
      <c r="AG27" s="752">
        <v>5.4</v>
      </c>
      <c r="AQ27" s="736">
        <f t="shared" si="71"/>
        <v>24</v>
      </c>
      <c r="AR27" s="791">
        <f t="shared" si="1"/>
        <v>24</v>
      </c>
      <c r="AS27" s="565" t="s">
        <v>431</v>
      </c>
      <c r="AT27" s="565">
        <f t="shared" si="2"/>
        <v>5.4</v>
      </c>
      <c r="AU27" s="792">
        <f t="shared" si="72"/>
        <v>0</v>
      </c>
      <c r="AV27" s="792">
        <f t="shared" si="99"/>
        <v>0</v>
      </c>
      <c r="AW27" s="793">
        <f t="shared" si="3"/>
        <v>0</v>
      </c>
      <c r="AX27" s="794">
        <f t="shared" si="4"/>
        <v>18.336776074005567</v>
      </c>
      <c r="AY27" s="571">
        <f t="shared" si="108"/>
        <v>0</v>
      </c>
      <c r="AZ27" s="56">
        <f t="shared" si="73"/>
        <v>0</v>
      </c>
      <c r="BA27" s="68">
        <f t="shared" si="5"/>
        <v>0</v>
      </c>
      <c r="BE27" s="1"/>
      <c r="BF27" s="1"/>
      <c r="BG27" s="1"/>
      <c r="BH27" s="1"/>
      <c r="BL27" s="456">
        <f t="shared" si="100"/>
        <v>24</v>
      </c>
      <c r="BM27" s="553">
        <f t="shared" si="6"/>
        <v>24</v>
      </c>
      <c r="BN27" s="565" t="s">
        <v>431</v>
      </c>
      <c r="BO27" s="697">
        <f t="shared" si="7"/>
        <v>0</v>
      </c>
      <c r="BP27" s="571">
        <f t="shared" si="74"/>
        <v>0</v>
      </c>
      <c r="BQ27" s="697">
        <f t="shared" si="8"/>
        <v>0</v>
      </c>
      <c r="BR27" s="571">
        <f t="shared" si="75"/>
        <v>0</v>
      </c>
      <c r="BS27" s="811">
        <f t="shared" si="9"/>
        <v>0</v>
      </c>
      <c r="BT27" s="812">
        <f>IF($AU27=0,0,ROUND(IF(VLOOKUP(BM27,$AR$4:$AU$27,$BA$30,FALSE)&lt;&gt;0,BS27/VLOOKUP(BM27,$AR$4:$AU$27,$BA$30,FALSE)*100,""),6))</f>
        <v>0</v>
      </c>
      <c r="BW27" s="1"/>
      <c r="BX27" s="10"/>
      <c r="BY27" s="10"/>
      <c r="BZ27" s="10"/>
      <c r="CA27" s="10"/>
      <c r="CB27" s="10"/>
      <c r="CC27" s="10"/>
      <c r="CD27" s="10"/>
      <c r="CE27" s="10"/>
      <c r="CI27" s="736">
        <f t="shared" si="101"/>
        <v>24</v>
      </c>
      <c r="CJ27" s="829">
        <f t="shared" si="12"/>
        <v>24</v>
      </c>
      <c r="CK27" s="565" t="s">
        <v>431</v>
      </c>
      <c r="CL27" s="556">
        <f t="shared" si="13"/>
        <v>0</v>
      </c>
      <c r="CM27" s="458">
        <f t="shared" si="14"/>
        <v>0</v>
      </c>
      <c r="CN27" s="556">
        <f t="shared" si="15"/>
        <v>0</v>
      </c>
      <c r="CO27" s="458">
        <f t="shared" si="16"/>
        <v>0</v>
      </c>
      <c r="CP27" s="458">
        <f t="shared" si="17"/>
        <v>0</v>
      </c>
      <c r="CQ27" s="556">
        <f t="shared" si="18"/>
        <v>0</v>
      </c>
      <c r="CR27" s="555">
        <f t="shared" si="19"/>
        <v>0</v>
      </c>
      <c r="DE27" s="1"/>
      <c r="DH27" s="736">
        <v>24</v>
      </c>
      <c r="DI27" s="841">
        <f t="shared" si="20"/>
        <v>24</v>
      </c>
      <c r="DJ27" s="565" t="s">
        <v>431</v>
      </c>
      <c r="DK27" s="556">
        <f t="shared" si="21"/>
        <v>0</v>
      </c>
      <c r="DL27" s="458">
        <f t="shared" si="77"/>
        <v>0</v>
      </c>
      <c r="DM27" s="556">
        <f t="shared" si="22"/>
        <v>0</v>
      </c>
      <c r="DN27" s="458">
        <f t="shared" si="23"/>
        <v>0</v>
      </c>
      <c r="DO27" s="556">
        <f t="shared" si="24"/>
        <v>0</v>
      </c>
      <c r="DP27" s="458">
        <f t="shared" si="25"/>
        <v>0</v>
      </c>
      <c r="DQ27" s="458">
        <f t="shared" si="78"/>
        <v>0</v>
      </c>
      <c r="DR27" s="556">
        <f t="shared" si="26"/>
        <v>0</v>
      </c>
      <c r="DS27" s="555">
        <f t="shared" si="27"/>
        <v>0</v>
      </c>
      <c r="DW27" s="736">
        <f t="shared" si="102"/>
        <v>24</v>
      </c>
      <c r="DX27" s="841">
        <f t="shared" si="28"/>
        <v>24</v>
      </c>
      <c r="DY27" s="565" t="s">
        <v>431</v>
      </c>
      <c r="DZ27" s="556">
        <f t="shared" si="29"/>
        <v>0</v>
      </c>
      <c r="EA27" s="458">
        <f t="shared" si="30"/>
        <v>0</v>
      </c>
      <c r="EB27" s="555">
        <f t="shared" si="31"/>
        <v>0</v>
      </c>
      <c r="EN27" s="736">
        <f t="shared" si="103"/>
        <v>24</v>
      </c>
      <c r="EO27" s="841">
        <f t="shared" si="32"/>
        <v>24</v>
      </c>
      <c r="EP27" s="565" t="s">
        <v>431</v>
      </c>
      <c r="EQ27" s="556">
        <f t="shared" si="33"/>
        <v>0</v>
      </c>
      <c r="ER27" s="458">
        <f t="shared" si="34"/>
        <v>0</v>
      </c>
      <c r="ES27" s="556">
        <f t="shared" si="35"/>
        <v>0</v>
      </c>
      <c r="ET27" s="458">
        <f t="shared" si="36"/>
        <v>0</v>
      </c>
      <c r="EU27" s="556">
        <f t="shared" si="37"/>
        <v>0</v>
      </c>
      <c r="EV27" s="458">
        <f t="shared" si="38"/>
        <v>0</v>
      </c>
      <c r="EW27" s="458">
        <f t="shared" si="39"/>
        <v>0</v>
      </c>
      <c r="EX27" s="556">
        <f t="shared" si="40"/>
        <v>0</v>
      </c>
      <c r="EY27" s="555">
        <f t="shared" si="41"/>
        <v>0</v>
      </c>
      <c r="FI27" s="736">
        <f t="shared" si="104"/>
        <v>24</v>
      </c>
      <c r="FJ27" s="737">
        <f t="shared" si="42"/>
        <v>24</v>
      </c>
      <c r="FK27" s="565" t="s">
        <v>431</v>
      </c>
      <c r="FL27" s="556">
        <f t="shared" si="43"/>
        <v>0</v>
      </c>
      <c r="FM27" s="458">
        <f t="shared" si="44"/>
        <v>0</v>
      </c>
      <c r="FN27" s="555">
        <f t="shared" si="45"/>
        <v>0</v>
      </c>
      <c r="FR27" s="736">
        <f t="shared" si="105"/>
        <v>24</v>
      </c>
      <c r="FS27" s="737">
        <v>24</v>
      </c>
      <c r="FT27" s="565" t="s">
        <v>431</v>
      </c>
      <c r="FU27" s="458">
        <f t="shared" si="46"/>
        <v>0</v>
      </c>
      <c r="FV27" s="458">
        <f t="shared" si="47"/>
        <v>0</v>
      </c>
      <c r="FW27" s="458">
        <f t="shared" si="48"/>
        <v>0</v>
      </c>
      <c r="FX27" s="458">
        <f t="shared" si="49"/>
        <v>0</v>
      </c>
      <c r="FY27" s="458">
        <f t="shared" si="50"/>
        <v>0</v>
      </c>
      <c r="FZ27" s="458">
        <f t="shared" si="51"/>
        <v>0</v>
      </c>
      <c r="GA27" s="458">
        <f t="shared" si="52"/>
        <v>0</v>
      </c>
      <c r="GB27" s="458">
        <f t="shared" si="119"/>
        <v>0</v>
      </c>
      <c r="GC27" s="853">
        <f t="shared" si="54"/>
        <v>0</v>
      </c>
      <c r="GG27" s="736">
        <f t="shared" si="79"/>
        <v>24</v>
      </c>
      <c r="GH27" s="737">
        <f t="shared" si="55"/>
        <v>24</v>
      </c>
      <c r="GI27" s="565" t="s">
        <v>431</v>
      </c>
      <c r="GJ27" s="555">
        <f t="shared" si="56"/>
        <v>0</v>
      </c>
      <c r="GK27" s="555">
        <f t="shared" si="57"/>
        <v>0</v>
      </c>
      <c r="GL27" s="555">
        <f t="shared" si="58"/>
        <v>0</v>
      </c>
      <c r="GM27" s="555">
        <f t="shared" si="59"/>
        <v>0</v>
      </c>
      <c r="GN27" s="555">
        <f t="shared" si="60"/>
        <v>0</v>
      </c>
      <c r="GO27" s="555">
        <f t="shared" si="61"/>
        <v>0</v>
      </c>
      <c r="GP27" s="555">
        <f t="shared" si="62"/>
        <v>0</v>
      </c>
      <c r="GQ27" s="555">
        <f t="shared" si="63"/>
        <v>0</v>
      </c>
      <c r="GR27" s="792">
        <f t="shared" si="80"/>
        <v>0</v>
      </c>
      <c r="GS27" s="716"/>
      <c r="GV27" s="719">
        <f t="shared" si="81"/>
        <v>24</v>
      </c>
      <c r="GW27" s="737">
        <v>24</v>
      </c>
      <c r="GX27" s="565" t="s">
        <v>431</v>
      </c>
      <c r="GY27" s="553" t="s">
        <v>402</v>
      </c>
      <c r="GZ27" s="925">
        <f t="shared" si="82"/>
        <v>0</v>
      </c>
      <c r="HA27" s="792">
        <f t="shared" si="83"/>
        <v>0</v>
      </c>
      <c r="HB27" s="922">
        <f t="shared" si="109"/>
        <v>0</v>
      </c>
      <c r="HC27" s="942">
        <f t="shared" si="85"/>
        <v>0</v>
      </c>
      <c r="HD27" s="859">
        <v>1.3251176715129986E-3</v>
      </c>
      <c r="HE27" s="54"/>
      <c r="HH27" s="54"/>
      <c r="HI27" s="54"/>
      <c r="HJ27" s="54"/>
      <c r="HK27" s="54"/>
      <c r="HL27" s="54"/>
      <c r="HM27" s="54"/>
      <c r="HN27" s="54"/>
      <c r="HQ27" s="734">
        <v>24</v>
      </c>
      <c r="HR27" s="869">
        <v>24</v>
      </c>
      <c r="HS27" s="518" t="s">
        <v>431</v>
      </c>
      <c r="HT27" s="792">
        <f t="shared" si="86"/>
        <v>0</v>
      </c>
      <c r="HU27" s="917">
        <f t="shared" si="87"/>
        <v>0</v>
      </c>
      <c r="HV27" s="870"/>
      <c r="HW27" s="768"/>
      <c r="HX27" s="870">
        <v>-1.5297739999999997</v>
      </c>
      <c r="HY27" s="769">
        <v>10</v>
      </c>
      <c r="IP27" s="736">
        <v>24</v>
      </c>
      <c r="IQ27" s="884">
        <v>24</v>
      </c>
      <c r="IR27" s="565" t="s">
        <v>431</v>
      </c>
      <c r="IS27" s="914">
        <f t="shared" si="106"/>
        <v>0</v>
      </c>
      <c r="IT27" s="916">
        <f t="shared" si="88"/>
        <v>0</v>
      </c>
      <c r="IU27" s="920">
        <f t="shared" si="89"/>
        <v>0</v>
      </c>
      <c r="IV27" s="905">
        <v>0</v>
      </c>
      <c r="IW27" s="905">
        <f t="shared" si="91"/>
        <v>0</v>
      </c>
      <c r="IX27" s="914">
        <v>0</v>
      </c>
      <c r="IY27" s="885">
        <f t="shared" si="93"/>
        <v>0</v>
      </c>
      <c r="IZ27" s="928">
        <f>IU27</f>
        <v>0</v>
      </c>
      <c r="JA27" s="929">
        <f>IZ27</f>
        <v>0</v>
      </c>
      <c r="JB27" s="914">
        <f t="shared" si="107"/>
        <v>0</v>
      </c>
      <c r="JC27" s="886">
        <v>0</v>
      </c>
      <c r="JG27" s="734">
        <v>24</v>
      </c>
      <c r="JH27" s="869">
        <v>24</v>
      </c>
      <c r="JI27" s="518" t="s">
        <v>431</v>
      </c>
      <c r="JJ27" s="792">
        <f t="shared" si="96"/>
        <v>0</v>
      </c>
      <c r="JK27" s="917">
        <f t="shared" si="97"/>
        <v>0</v>
      </c>
      <c r="JL27" s="870">
        <v>10.321</v>
      </c>
      <c r="JM27" s="768"/>
      <c r="JN27" s="870"/>
      <c r="JO27" s="769">
        <v>10</v>
      </c>
      <c r="JT27" s="937">
        <v>4.9211555552511586</v>
      </c>
      <c r="JU27" s="937">
        <f t="shared" si="64"/>
        <v>-1.3444883133173491E-3</v>
      </c>
      <c r="JV27" s="938">
        <f>SUM(JV3:JV26)</f>
        <v>2202811268</v>
      </c>
      <c r="JW27" s="938">
        <f t="shared" si="65"/>
        <v>1242195.5731420517</v>
      </c>
    </row>
    <row r="28" spans="3:294" ht="17.25" thickBot="1" x14ac:dyDescent="0.35">
      <c r="G28" s="1"/>
      <c r="I28" s="1"/>
      <c r="J28" s="738">
        <v>25</v>
      </c>
      <c r="K28" s="761"/>
      <c r="L28" s="762" t="s">
        <v>72</v>
      </c>
      <c r="M28" s="755">
        <f>SUM(M4:M27)</f>
        <v>2204053463.5731421</v>
      </c>
      <c r="N28" s="742">
        <v>0.99999999999999967</v>
      </c>
      <c r="O28" s="755">
        <v>18014.483727240997</v>
      </c>
      <c r="P28" s="755">
        <f>SUM(P4:P27)</f>
        <v>1765689.3746995525</v>
      </c>
      <c r="Q28" s="742">
        <f>SUM(Q4:Q27)</f>
        <v>0.99999999999999978</v>
      </c>
      <c r="R28" s="763"/>
      <c r="S28" s="1"/>
      <c r="U28" s="1"/>
      <c r="V28" s="738">
        <f>+V27+1</f>
        <v>25</v>
      </c>
      <c r="W28" s="739"/>
      <c r="X28" s="740" t="s">
        <v>72</v>
      </c>
      <c r="Y28" s="939">
        <f>SUM(Y4:Y27)</f>
        <v>83693414.576578036</v>
      </c>
      <c r="Z28" s="742">
        <v>0.99999999999999967</v>
      </c>
      <c r="AA28" s="1"/>
      <c r="AC28" s="1"/>
      <c r="AD28" s="720"/>
      <c r="AH28" s="1"/>
      <c r="AJ28" s="1"/>
      <c r="AK28" s="1"/>
      <c r="AL28" s="1"/>
      <c r="AM28" s="1"/>
      <c r="AQ28" s="738">
        <f>+AQ27+1</f>
        <v>25</v>
      </c>
      <c r="AR28" s="795"/>
      <c r="AS28" s="796" t="s">
        <v>72</v>
      </c>
      <c r="AT28" s="797">
        <f>AM7</f>
        <v>3.1019864894695965</v>
      </c>
      <c r="AU28" s="755">
        <f>SUM(AU4:AU27)</f>
        <v>2204053463.5731421</v>
      </c>
      <c r="AV28" s="755">
        <f>SUM(AV4:AV27)</f>
        <v>1902416.2339040963</v>
      </c>
      <c r="AW28" s="755">
        <f>SUM(AW4:AW27)</f>
        <v>1968927.1041759739</v>
      </c>
      <c r="AX28" s="798">
        <f>SUMPRODUCT(AX4:AX27,AU4:AU27)/AU28</f>
        <v>18.33677607400557</v>
      </c>
      <c r="AY28" s="799">
        <f>SUM(AY4:AY27)</f>
        <v>36103775.415315062</v>
      </c>
      <c r="AZ28" s="73">
        <f t="shared" si="73"/>
        <v>1</v>
      </c>
      <c r="BA28" s="74">
        <f>AY28*100/$M$28</f>
        <v>1.6380625974827652</v>
      </c>
      <c r="BB28" s="1"/>
      <c r="BD28" s="1"/>
      <c r="BE28" s="49"/>
      <c r="BF28" s="49"/>
      <c r="BG28" s="49"/>
      <c r="BH28" s="49"/>
      <c r="BI28" s="1"/>
      <c r="BK28" s="1"/>
      <c r="BL28" s="813">
        <f>+BL27+1</f>
        <v>25</v>
      </c>
      <c r="BM28" s="814"/>
      <c r="BN28" s="815" t="s">
        <v>72</v>
      </c>
      <c r="BO28" s="816">
        <f>SUM(BO4:BO27)</f>
        <v>1.0000000000000002</v>
      </c>
      <c r="BP28" s="817">
        <f>BH4</f>
        <v>7855598.930964387</v>
      </c>
      <c r="BQ28" s="818">
        <f>SUM(BQ4:BQ27)</f>
        <v>0.99999999999999967</v>
      </c>
      <c r="BR28" s="817">
        <f>BH5</f>
        <v>7855598.930964387</v>
      </c>
      <c r="BS28" s="819">
        <f>D6</f>
        <v>15711197.861928774</v>
      </c>
      <c r="BT28" s="820">
        <f>BS28*100/$M$28</f>
        <v>0.71283197624699512</v>
      </c>
      <c r="BU28" s="1"/>
      <c r="BW28" s="1"/>
      <c r="BX28" s="10"/>
      <c r="BY28" s="10"/>
      <c r="BZ28" s="10"/>
      <c r="CA28" s="10"/>
      <c r="CB28" s="10"/>
      <c r="CC28" s="10"/>
      <c r="CD28" s="10"/>
      <c r="CE28" s="10"/>
      <c r="CF28" s="1"/>
      <c r="CI28" s="738">
        <f>CI27+1</f>
        <v>25</v>
      </c>
      <c r="CJ28" s="739"/>
      <c r="CK28" s="762" t="s">
        <v>72</v>
      </c>
      <c r="CL28" s="830">
        <f>SUM(CL4:CL27)</f>
        <v>0.99999999999999967</v>
      </c>
      <c r="CM28" s="817">
        <f>CD9</f>
        <v>5354240.1246443363</v>
      </c>
      <c r="CN28" s="830">
        <f>SUM(CN4:CN27)</f>
        <v>0.99999999999999978</v>
      </c>
      <c r="CO28" s="817">
        <f>CE9</f>
        <v>17401127.935035147</v>
      </c>
      <c r="CP28" s="817">
        <f>SUM(CP4:CP27)</f>
        <v>22755368.059679482</v>
      </c>
      <c r="CQ28" s="830">
        <f>SUM(CQ4:CQ27)</f>
        <v>1</v>
      </c>
      <c r="CR28" s="820">
        <f>CP28*100/$M$28</f>
        <v>1.0324326717006764</v>
      </c>
      <c r="CU28" s="1"/>
      <c r="DE28" s="1"/>
      <c r="DG28" s="78"/>
      <c r="DH28" s="738">
        <v>25</v>
      </c>
      <c r="DI28" s="71"/>
      <c r="DJ28" s="72" t="s">
        <v>72</v>
      </c>
      <c r="DK28" s="77">
        <f>SUM(DK4:DK27)</f>
        <v>1</v>
      </c>
      <c r="DL28" s="60">
        <f>DA7</f>
        <v>315928.05420570989</v>
      </c>
      <c r="DM28" s="77">
        <f>SUM(DM4:DM27)</f>
        <v>0.99999999999999978</v>
      </c>
      <c r="DN28" s="60">
        <f>DB7</f>
        <v>1955203.5284778571</v>
      </c>
      <c r="DO28" s="77">
        <f>SUM(DO4:DO27)</f>
        <v>0.99999999999999967</v>
      </c>
      <c r="DP28" s="60">
        <f>DC7</f>
        <v>3255320.4659325592</v>
      </c>
      <c r="DQ28" s="60">
        <f>SUM(DQ4:DQ27)</f>
        <v>5526452.0486161252</v>
      </c>
      <c r="DR28" s="77">
        <f>SUM(DR4:DR27)</f>
        <v>1.0000000000000002</v>
      </c>
      <c r="DS28" s="76">
        <f>DQ28*100/$M$28</f>
        <v>0.25074038084615313</v>
      </c>
      <c r="DT28" s="49"/>
      <c r="DV28" s="49"/>
      <c r="DW28" s="738">
        <f>DW27+1</f>
        <v>25</v>
      </c>
      <c r="DX28" s="71"/>
      <c r="DY28" s="72" t="s">
        <v>72</v>
      </c>
      <c r="DZ28" s="77">
        <f>SUM(DZ4:DZ27)</f>
        <v>0.99999999999999978</v>
      </c>
      <c r="EA28" s="60">
        <f>D9</f>
        <v>3596621.1910385769</v>
      </c>
      <c r="EB28" s="76">
        <f>EA28*100/$M$28</f>
        <v>0.16318212105471561</v>
      </c>
      <c r="EC28" s="49"/>
      <c r="EE28" s="1"/>
      <c r="EK28" s="1"/>
      <c r="EM28" s="1"/>
      <c r="EN28" s="738">
        <f>+EN27+1</f>
        <v>25</v>
      </c>
      <c r="EO28" s="71"/>
      <c r="EP28" s="72" t="s">
        <v>72</v>
      </c>
      <c r="EQ28" s="77">
        <f>SUM(EQ4:EQ27)</f>
        <v>0.99999999999999989</v>
      </c>
      <c r="ER28" s="60">
        <f>EJ4</f>
        <v>7157639.056389316</v>
      </c>
      <c r="ES28" s="77">
        <f>SUM(ES4:ES27)</f>
        <v>1</v>
      </c>
      <c r="ET28" s="60">
        <f>EJ5</f>
        <v>965047.32386532205</v>
      </c>
      <c r="EU28" s="77">
        <f>SUM(EU4:EU27)</f>
        <v>0.99999999999999967</v>
      </c>
      <c r="EV28" s="60">
        <f>EJ6</f>
        <v>2585518.8451076136</v>
      </c>
      <c r="EW28" s="60">
        <f>SUM(EW4:EW27)</f>
        <v>10708205.225362254</v>
      </c>
      <c r="EX28" s="77">
        <f>SUM(EX4:EX27)</f>
        <v>0.99999999999999989</v>
      </c>
      <c r="EY28" s="76">
        <f>EW28*100/$M$28</f>
        <v>0.48584144633236115</v>
      </c>
      <c r="EZ28" s="1"/>
      <c r="FB28" s="1"/>
      <c r="FF28" s="1"/>
      <c r="FH28" s="49"/>
      <c r="FI28" s="738">
        <f>+FI27+1</f>
        <v>25</v>
      </c>
      <c r="FJ28" s="79"/>
      <c r="FK28" s="58" t="s">
        <v>72</v>
      </c>
      <c r="FL28" s="77">
        <f t="shared" si="43"/>
        <v>0.99999999999999967</v>
      </c>
      <c r="FM28" s="60">
        <f>FE6</f>
        <v>18793628.556230251</v>
      </c>
      <c r="FN28" s="76">
        <f>FM28*100/$M$28</f>
        <v>0.85268478586552132</v>
      </c>
      <c r="FO28" s="1"/>
      <c r="FR28" s="738">
        <f>+FR27+1</f>
        <v>25</v>
      </c>
      <c r="FS28" s="80"/>
      <c r="FT28" s="75" t="s">
        <v>72</v>
      </c>
      <c r="FU28" s="817">
        <f t="shared" ref="FU28:GA28" si="124">SUM(FU4:FU27)</f>
        <v>36103775.415315062</v>
      </c>
      <c r="FV28" s="817">
        <f t="shared" si="124"/>
        <v>15711197.861928778</v>
      </c>
      <c r="FW28" s="817">
        <f t="shared" si="124"/>
        <v>22755368.059679482</v>
      </c>
      <c r="FX28" s="817">
        <f t="shared" si="124"/>
        <v>5526452.0486161252</v>
      </c>
      <c r="FY28" s="817">
        <f t="shared" si="124"/>
        <v>3596621.191038576</v>
      </c>
      <c r="FZ28" s="817">
        <f t="shared" si="124"/>
        <v>10708205.225362254</v>
      </c>
      <c r="GA28" s="817">
        <f t="shared" si="124"/>
        <v>18793628.556230251</v>
      </c>
      <c r="GB28" s="817">
        <f>SUM(FU28:GA28)</f>
        <v>113195248.35817052</v>
      </c>
      <c r="GC28" s="854">
        <v>5.1731248696411978</v>
      </c>
      <c r="GD28" s="1"/>
      <c r="GG28" s="738">
        <v>25</v>
      </c>
      <c r="GH28" s="855"/>
      <c r="GI28" s="762" t="s">
        <v>72</v>
      </c>
      <c r="GJ28" s="820">
        <f t="shared" ref="GJ28:GQ28" si="125">FU28*100/$GR$28</f>
        <v>1.6380625974827652</v>
      </c>
      <c r="GK28" s="820">
        <f t="shared" si="125"/>
        <v>0.71283197624699535</v>
      </c>
      <c r="GL28" s="820">
        <f t="shared" si="125"/>
        <v>1.0324326717006764</v>
      </c>
      <c r="GM28" s="820">
        <f t="shared" si="125"/>
        <v>0.25074038084615313</v>
      </c>
      <c r="GN28" s="820">
        <f t="shared" si="125"/>
        <v>0.16318212105471555</v>
      </c>
      <c r="GO28" s="820">
        <f t="shared" si="125"/>
        <v>0.48584144633236115</v>
      </c>
      <c r="GP28" s="820">
        <f t="shared" si="125"/>
        <v>0.85268478586552132</v>
      </c>
      <c r="GQ28" s="854">
        <f t="shared" si="125"/>
        <v>5.1357759795291882</v>
      </c>
      <c r="GR28" s="755">
        <f>SUM(GR4:GR27)</f>
        <v>2204053463.5731421</v>
      </c>
      <c r="GS28" s="716"/>
      <c r="GV28" s="721">
        <v>25</v>
      </c>
      <c r="GW28" s="80"/>
      <c r="GX28" s="75" t="s">
        <v>72</v>
      </c>
      <c r="GY28" s="70"/>
      <c r="GZ28" s="60">
        <f>SUM(GZ4:GZ27)</f>
        <v>113195248.35817054</v>
      </c>
      <c r="HA28" s="81">
        <f>SUM(HA4:HA27)</f>
        <v>2204053463.5731421</v>
      </c>
      <c r="HB28" s="923">
        <f>IF(HA28&lt;&gt;0,GZ28/HA28*100,0)</f>
        <v>5.1357759795291882</v>
      </c>
      <c r="HC28" s="60">
        <f>SUM(HC4:HC27)</f>
        <v>113195249.75969514</v>
      </c>
      <c r="HD28" s="62">
        <f>SUM(HD4:HD27)</f>
        <v>-2.9150733718854553</v>
      </c>
      <c r="HE28" s="82"/>
      <c r="HH28" s="82"/>
      <c r="HI28" s="82"/>
      <c r="HJ28" s="82"/>
      <c r="HK28" s="82"/>
      <c r="HL28" s="82"/>
      <c r="HM28" s="82"/>
      <c r="HN28" s="82"/>
      <c r="HQ28" s="738">
        <v>25</v>
      </c>
      <c r="HR28" s="871" t="s">
        <v>72</v>
      </c>
      <c r="HS28" s="762"/>
      <c r="HT28" s="872">
        <v>2172816411.6368828</v>
      </c>
      <c r="HU28" s="921">
        <f>SUMPRODUCT(HT4:HT27,HU4:HU27)/SUM(HT4:HT27)</f>
        <v>5.1357760431176906</v>
      </c>
      <c r="HV28" s="873"/>
      <c r="HW28" s="874"/>
      <c r="HX28" s="873">
        <v>-1.1081743881537101</v>
      </c>
      <c r="HY28" s="875"/>
      <c r="HZ28" s="1"/>
      <c r="IB28" s="1"/>
      <c r="IM28" s="1"/>
      <c r="IO28" s="1"/>
      <c r="IP28" s="887">
        <v>25</v>
      </c>
      <c r="IQ28" s="871" t="s">
        <v>72</v>
      </c>
      <c r="IR28" s="762"/>
      <c r="IS28" s="888">
        <f>SUM(IS4:IS27)</f>
        <v>113195249.75969514</v>
      </c>
      <c r="IT28" s="872">
        <f>M28</f>
        <v>2204053463.5731421</v>
      </c>
      <c r="IU28" s="889">
        <f t="shared" si="89"/>
        <v>5.1357759795291882</v>
      </c>
      <c r="IV28" s="912">
        <f>SUM(IV4:IV27)</f>
        <v>317332235.83979225</v>
      </c>
      <c r="IW28" s="912">
        <f>IT28-IV28</f>
        <v>1886721227.7333498</v>
      </c>
      <c r="IX28" s="888">
        <f>SUM(IX4:IX27)</f>
        <v>4759983.5375968833</v>
      </c>
      <c r="IY28" s="888">
        <f>SUM(IY4:IY27)</f>
        <v>108435266.22209825</v>
      </c>
      <c r="IZ28" s="854">
        <f>IY28/IT28*100</f>
        <v>4.9198110669378412</v>
      </c>
      <c r="JA28" s="931">
        <f>SUMPRODUCT(IV4:IV27,JA4:JA27)/SUM(IV4:IV27)</f>
        <v>6.3953716028002683</v>
      </c>
      <c r="JB28" s="888">
        <v>112402506.296179</v>
      </c>
      <c r="JC28" s="890"/>
      <c r="JG28" s="738">
        <v>25</v>
      </c>
      <c r="JH28" s="871" t="s">
        <v>72</v>
      </c>
      <c r="JI28" s="762"/>
      <c r="JJ28" s="872">
        <f>M28</f>
        <v>2204053463.5731421</v>
      </c>
      <c r="JK28" s="917">
        <f t="shared" si="97"/>
        <v>4.9198110669378412</v>
      </c>
      <c r="JL28" s="873">
        <v>6.0600640732101736</v>
      </c>
      <c r="JM28" s="874">
        <v>-0.18249978315112181</v>
      </c>
      <c r="JN28" s="873">
        <v>-1.1059603792427604</v>
      </c>
      <c r="JO28" s="875"/>
      <c r="JP28" s="25"/>
      <c r="JS28" s="1"/>
      <c r="KG28" s="1"/>
      <c r="KH28" s="69"/>
    </row>
    <row r="29" spans="3:294" x14ac:dyDescent="0.3">
      <c r="G29" s="49"/>
      <c r="I29" s="49"/>
      <c r="M29" s="14"/>
      <c r="O29" s="14"/>
      <c r="P29" s="14"/>
      <c r="S29" s="49"/>
      <c r="U29" s="49"/>
      <c r="V29" s="743"/>
      <c r="W29" s="744"/>
      <c r="X29" s="744"/>
      <c r="Y29" s="946">
        <f>Y28-SUM(D4:D9)</f>
        <v>0</v>
      </c>
      <c r="Z29" s="745"/>
      <c r="AA29" s="49"/>
      <c r="AC29" s="49"/>
      <c r="AH29" s="49"/>
      <c r="AJ29" s="49"/>
      <c r="AK29" s="49"/>
      <c r="AL29" s="49"/>
      <c r="AM29" s="49"/>
      <c r="AQ29" s="800"/>
      <c r="AR29" s="800"/>
      <c r="AS29" s="744"/>
      <c r="AT29" s="744"/>
      <c r="AU29" s="744"/>
      <c r="AV29" s="744"/>
      <c r="AW29" s="801"/>
      <c r="AX29" s="744"/>
      <c r="AY29" s="744"/>
      <c r="AZ29" s="49"/>
      <c r="BA29" s="49"/>
      <c r="BB29" s="49"/>
      <c r="BD29" s="49"/>
      <c r="BE29" s="49"/>
      <c r="BF29" s="49"/>
      <c r="BG29" s="49"/>
      <c r="BH29" s="49"/>
      <c r="BI29" s="49"/>
      <c r="BK29" s="49"/>
      <c r="BU29" s="49"/>
      <c r="BW29" s="42"/>
      <c r="BX29" s="10"/>
      <c r="BY29" s="10"/>
      <c r="BZ29" s="10"/>
      <c r="CA29" s="10"/>
      <c r="CB29" s="10"/>
      <c r="CC29" s="10"/>
      <c r="CD29" s="10"/>
      <c r="CE29" s="10"/>
      <c r="CF29" s="49"/>
      <c r="CH29" s="1"/>
      <c r="CI29" s="25"/>
      <c r="CM29" s="4"/>
      <c r="CO29" s="4"/>
      <c r="CP29" s="4"/>
      <c r="CS29" s="1"/>
      <c r="CU29" s="49"/>
      <c r="DE29" s="42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V29" s="49"/>
      <c r="DW29" s="78"/>
      <c r="DX29" s="49"/>
      <c r="DY29" s="49"/>
      <c r="DZ29" s="49"/>
      <c r="EA29" s="49"/>
      <c r="EB29" s="49"/>
      <c r="EC29" s="49"/>
      <c r="EE29" s="49"/>
      <c r="EK29" s="49"/>
      <c r="EM29" s="49"/>
      <c r="EN29" s="49"/>
      <c r="EO29" s="49"/>
      <c r="EP29" s="49"/>
      <c r="EQ29" s="49"/>
      <c r="ER29" s="49"/>
      <c r="ES29" s="49"/>
      <c r="ET29" s="49"/>
      <c r="EU29" s="49"/>
      <c r="EV29" s="83"/>
      <c r="EW29" s="49"/>
      <c r="EX29" s="49"/>
      <c r="EY29" s="49"/>
      <c r="EZ29" s="49"/>
      <c r="FB29" s="49"/>
      <c r="FF29" s="49"/>
      <c r="FH29" s="49"/>
      <c r="FI29" s="49"/>
      <c r="FJ29" s="49"/>
      <c r="FK29" s="49"/>
      <c r="FL29" s="49"/>
      <c r="FM29" s="49"/>
      <c r="FN29" s="49"/>
      <c r="FO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716"/>
      <c r="HC29" s="941">
        <f>HC28-D13</f>
        <v>1793.1732702106237</v>
      </c>
      <c r="HE29" s="11"/>
      <c r="HH29" s="54"/>
      <c r="HI29" s="54"/>
      <c r="HJ29" s="54"/>
      <c r="HK29" s="54"/>
      <c r="HL29" s="54"/>
      <c r="HM29" s="11"/>
      <c r="HN29" s="11"/>
      <c r="HZ29" s="49"/>
      <c r="IB29" s="49"/>
      <c r="IP29" s="78"/>
      <c r="IQ29" s="49"/>
      <c r="IS29" s="11"/>
      <c r="IV29" s="930"/>
      <c r="IW29" s="930"/>
      <c r="JB29" s="11"/>
    </row>
    <row r="30" spans="3:294" x14ac:dyDescent="0.3">
      <c r="G30" s="49"/>
      <c r="I30" s="49"/>
      <c r="J30" s="846"/>
      <c r="K30" s="846"/>
      <c r="L30" s="846" t="s">
        <v>432</v>
      </c>
      <c r="M30" s="856">
        <v>3</v>
      </c>
      <c r="N30" s="856"/>
      <c r="O30" s="856"/>
      <c r="P30" s="856"/>
      <c r="Q30" s="856"/>
      <c r="R30" s="856">
        <v>4</v>
      </c>
      <c r="S30" s="49"/>
      <c r="U30" s="49"/>
      <c r="V30" s="892"/>
      <c r="W30" s="892"/>
      <c r="X30" s="892" t="s">
        <v>438</v>
      </c>
      <c r="Y30" s="856">
        <v>2</v>
      </c>
      <c r="Z30" s="856">
        <f>Y30+1</f>
        <v>3</v>
      </c>
      <c r="AA30" s="49"/>
      <c r="AC30" s="49"/>
      <c r="AH30" s="49"/>
      <c r="AJ30" s="49"/>
      <c r="AK30" s="49"/>
      <c r="AL30" s="49"/>
      <c r="AM30" s="49"/>
      <c r="AQ30" s="802" t="s">
        <v>432</v>
      </c>
      <c r="AR30" s="803"/>
      <c r="AS30" s="802"/>
      <c r="AT30" s="802">
        <v>3</v>
      </c>
      <c r="AU30" s="802">
        <v>3</v>
      </c>
      <c r="AV30" s="802"/>
      <c r="AW30" s="802"/>
      <c r="AX30" s="802"/>
      <c r="AY30" s="802"/>
      <c r="AZ30" s="84"/>
      <c r="BA30" s="84">
        <v>4</v>
      </c>
      <c r="BB30" s="49"/>
      <c r="BD30" s="49"/>
      <c r="BE30" s="49"/>
      <c r="BF30" s="49"/>
      <c r="BG30" s="49"/>
      <c r="BH30" s="49"/>
      <c r="BI30" s="49"/>
      <c r="BK30" s="49"/>
      <c r="BL30" s="849"/>
      <c r="BM30" s="849"/>
      <c r="BN30" s="849" t="s">
        <v>432</v>
      </c>
      <c r="BO30" s="849">
        <v>9</v>
      </c>
      <c r="BP30" s="849"/>
      <c r="BQ30" s="849">
        <v>4</v>
      </c>
      <c r="BR30" s="849"/>
      <c r="BS30" s="849"/>
      <c r="BT30" s="849">
        <v>4</v>
      </c>
      <c r="BU30" s="49"/>
      <c r="BW30" s="42"/>
      <c r="BX30" s="10"/>
      <c r="BY30" s="10"/>
      <c r="BZ30" s="10"/>
      <c r="CA30" s="10"/>
      <c r="CB30" s="10"/>
      <c r="CC30" s="10"/>
      <c r="CD30" s="10"/>
      <c r="CE30" s="10"/>
      <c r="CF30" s="49"/>
      <c r="CH30" s="49"/>
      <c r="CK30" s="844" t="s">
        <v>434</v>
      </c>
      <c r="CM30" s="4"/>
      <c r="CO30" s="4"/>
      <c r="CP30" s="4"/>
      <c r="CS30" s="49"/>
      <c r="CU30" s="49"/>
      <c r="DE30" s="42"/>
      <c r="DG30" s="49"/>
      <c r="DH30" s="49"/>
      <c r="DI30" s="49"/>
      <c r="DJ30" s="844" t="s">
        <v>435</v>
      </c>
      <c r="DK30" s="85"/>
      <c r="DL30" s="85"/>
      <c r="DM30" s="85"/>
      <c r="DN30" s="85"/>
      <c r="DO30" s="85"/>
      <c r="DP30" s="85"/>
      <c r="DQ30" s="85"/>
      <c r="DR30" s="85"/>
      <c r="DS30" s="85"/>
      <c r="DV30" s="49"/>
      <c r="DW30" s="49"/>
      <c r="DX30" s="49"/>
      <c r="DY30" s="844" t="s">
        <v>443</v>
      </c>
      <c r="DZ30" s="85"/>
      <c r="EA30" s="85"/>
      <c r="EB30" s="85"/>
      <c r="EE30" s="49"/>
      <c r="EK30" s="49"/>
      <c r="EM30" s="49"/>
      <c r="EN30" s="49"/>
      <c r="EO30" s="49"/>
      <c r="EP30" s="844" t="s">
        <v>436</v>
      </c>
      <c r="EQ30" s="3"/>
      <c r="ER30" s="3"/>
      <c r="ES30" s="3"/>
      <c r="ET30" s="3"/>
      <c r="EU30" s="3"/>
      <c r="EV30" s="3"/>
      <c r="EW30" s="3"/>
      <c r="EX30" s="3"/>
      <c r="EY30" s="3"/>
      <c r="EZ30" s="49"/>
      <c r="FB30" s="49"/>
      <c r="FF30" s="49"/>
      <c r="FH30" s="49"/>
      <c r="FI30" s="849"/>
      <c r="FJ30" s="893" t="s">
        <v>432</v>
      </c>
      <c r="FK30" s="894"/>
      <c r="FL30" s="847"/>
      <c r="FM30" s="847"/>
      <c r="FN30" s="847">
        <v>4</v>
      </c>
      <c r="FO30" s="49"/>
      <c r="FR30" s="846"/>
      <c r="FS30" s="846"/>
      <c r="FT30" s="846" t="s">
        <v>432</v>
      </c>
      <c r="FU30" s="846">
        <v>8</v>
      </c>
      <c r="FV30" s="846">
        <v>7</v>
      </c>
      <c r="FW30" s="846">
        <v>7</v>
      </c>
      <c r="FX30" s="846">
        <v>9</v>
      </c>
      <c r="FY30" s="846">
        <v>4</v>
      </c>
      <c r="FZ30" s="846"/>
      <c r="GA30" s="846">
        <v>4</v>
      </c>
      <c r="GB30" s="846"/>
      <c r="GC30" s="846">
        <v>4</v>
      </c>
      <c r="GG30" s="846"/>
      <c r="GH30" s="846"/>
      <c r="GI30" s="846" t="s">
        <v>432</v>
      </c>
      <c r="GJ30" s="846">
        <v>10</v>
      </c>
      <c r="GK30" s="846">
        <v>8</v>
      </c>
      <c r="GL30" s="846">
        <v>9</v>
      </c>
      <c r="GM30" s="846">
        <v>11</v>
      </c>
      <c r="GN30" s="846">
        <v>5</v>
      </c>
      <c r="GO30" s="846">
        <v>11</v>
      </c>
      <c r="GP30" s="846">
        <v>5</v>
      </c>
      <c r="GQ30" s="846">
        <v>11</v>
      </c>
      <c r="GR30" s="846">
        <v>3</v>
      </c>
      <c r="GS30" s="716"/>
      <c r="HA30" s="716" t="s">
        <v>439</v>
      </c>
      <c r="HB30" s="860"/>
      <c r="HC30" s="860">
        <f>31.49*100</f>
        <v>3149</v>
      </c>
      <c r="HE30" s="11"/>
      <c r="HH30" s="54"/>
      <c r="HI30" s="54"/>
      <c r="HJ30" s="54"/>
      <c r="HK30" s="54"/>
      <c r="HL30" s="54"/>
      <c r="HM30" s="11"/>
      <c r="HN30" s="11"/>
      <c r="HQ30" s="846" t="s">
        <v>437</v>
      </c>
      <c r="HR30" s="846"/>
      <c r="HS30" s="846"/>
      <c r="HT30" s="846">
        <v>3</v>
      </c>
      <c r="HU30" s="846"/>
      <c r="HV30" s="846">
        <v>11</v>
      </c>
      <c r="HW30" s="846"/>
      <c r="HX30" s="846"/>
      <c r="HY30" s="846">
        <v>6</v>
      </c>
      <c r="HZ30" s="49"/>
      <c r="IB30" s="49"/>
      <c r="IP30" s="49"/>
      <c r="IQ30" s="49"/>
      <c r="JB30" s="11"/>
      <c r="JG30" s="846" t="s">
        <v>437</v>
      </c>
      <c r="JH30" s="846"/>
      <c r="JI30" s="846"/>
      <c r="JJ30" s="846">
        <v>3</v>
      </c>
      <c r="JK30" s="846"/>
      <c r="JL30" s="846">
        <v>5</v>
      </c>
      <c r="JM30" s="846"/>
      <c r="JN30" s="846"/>
      <c r="JO30" s="846">
        <v>6</v>
      </c>
    </row>
    <row r="31" spans="3:294" x14ac:dyDescent="0.3">
      <c r="I31" s="49"/>
      <c r="U31" s="49"/>
      <c r="V31" s="518"/>
      <c r="W31" s="518"/>
      <c r="X31" s="518"/>
      <c r="Y31" s="518"/>
      <c r="Z31" s="518"/>
      <c r="AC31" s="49"/>
      <c r="AJ31" s="49"/>
      <c r="AK31" s="49"/>
      <c r="AL31" s="49"/>
      <c r="AM31" s="49"/>
      <c r="AP31" s="87"/>
      <c r="AQ31" s="803" t="s">
        <v>438</v>
      </c>
      <c r="AR31" s="803"/>
      <c r="AS31" s="803">
        <v>2</v>
      </c>
      <c r="AT31" s="803">
        <f>+AS31+1</f>
        <v>3</v>
      </c>
      <c r="AU31" s="803">
        <f t="shared" ref="AU31:AY31" si="126">+AT31+1</f>
        <v>4</v>
      </c>
      <c r="AV31" s="803">
        <f t="shared" si="126"/>
        <v>5</v>
      </c>
      <c r="AW31" s="803">
        <f t="shared" si="126"/>
        <v>6</v>
      </c>
      <c r="AX31" s="803">
        <f t="shared" si="126"/>
        <v>7</v>
      </c>
      <c r="AY31" s="803">
        <f t="shared" si="126"/>
        <v>8</v>
      </c>
      <c r="AZ31" s="86"/>
      <c r="BA31" s="86">
        <f>+AY31+1</f>
        <v>9</v>
      </c>
      <c r="BD31" s="49"/>
      <c r="BE31" s="49"/>
      <c r="BF31" s="49"/>
      <c r="BG31" s="49"/>
      <c r="BH31" s="49"/>
      <c r="BK31" s="49"/>
      <c r="BW31" s="42"/>
      <c r="BX31" s="10"/>
      <c r="BY31" s="10"/>
      <c r="BZ31" s="10"/>
      <c r="CA31" s="10"/>
      <c r="CB31" s="10"/>
      <c r="CC31" s="10"/>
      <c r="CD31" s="10"/>
      <c r="CE31" s="10"/>
      <c r="CH31" s="49"/>
      <c r="CI31" s="849"/>
      <c r="CJ31" s="849" t="s">
        <v>432</v>
      </c>
      <c r="CK31" s="849"/>
      <c r="CL31" s="849">
        <v>4</v>
      </c>
      <c r="CM31" s="849"/>
      <c r="CN31" s="849">
        <v>7</v>
      </c>
      <c r="CO31" s="849"/>
      <c r="CP31" s="849"/>
      <c r="CQ31" s="849"/>
      <c r="CR31" s="849">
        <v>4</v>
      </c>
      <c r="CS31" s="49"/>
      <c r="CU31" s="49"/>
      <c r="DE31" s="10"/>
      <c r="DG31" s="49"/>
      <c r="DH31" s="849"/>
      <c r="DI31" s="849"/>
      <c r="DJ31" s="849" t="s">
        <v>432</v>
      </c>
      <c r="DK31" s="849">
        <v>8</v>
      </c>
      <c r="DL31" s="849"/>
      <c r="DM31" s="849">
        <v>7</v>
      </c>
      <c r="DN31" s="849"/>
      <c r="DO31" s="849">
        <v>4</v>
      </c>
      <c r="DP31" s="849"/>
      <c r="DQ31" s="849"/>
      <c r="DR31" s="849"/>
      <c r="DS31" s="849">
        <v>4</v>
      </c>
      <c r="DV31" s="49"/>
      <c r="DY31" s="844" t="s">
        <v>444</v>
      </c>
      <c r="EE31" s="49"/>
      <c r="EM31" s="49"/>
      <c r="EN31" s="849"/>
      <c r="EO31" s="849"/>
      <c r="EP31" s="849" t="s">
        <v>432</v>
      </c>
      <c r="EQ31" s="847">
        <v>4</v>
      </c>
      <c r="ER31" s="847"/>
      <c r="ES31" s="847">
        <v>8</v>
      </c>
      <c r="ET31" s="847"/>
      <c r="EU31" s="847">
        <v>4</v>
      </c>
      <c r="EV31" s="850"/>
      <c r="EW31" s="847"/>
      <c r="EX31" s="847"/>
      <c r="EY31" s="847">
        <v>4</v>
      </c>
      <c r="FB31" s="49"/>
      <c r="FH31" s="49"/>
      <c r="FI31" s="849"/>
      <c r="FJ31" s="893" t="s">
        <v>438</v>
      </c>
      <c r="FK31" s="894"/>
      <c r="FL31" s="847"/>
      <c r="FM31" s="847">
        <f>Z30+1</f>
        <v>4</v>
      </c>
      <c r="FN31" s="847">
        <f t="shared" ref="FN31" si="127">FM31+1</f>
        <v>5</v>
      </c>
      <c r="FR31" s="846"/>
      <c r="FS31" s="846"/>
      <c r="FT31" s="846" t="s">
        <v>438</v>
      </c>
      <c r="FU31" s="846">
        <v>1</v>
      </c>
      <c r="FV31" s="846">
        <f t="shared" ref="FV31:GC31" si="128">+FU31+1</f>
        <v>2</v>
      </c>
      <c r="FW31" s="846">
        <f t="shared" si="128"/>
        <v>3</v>
      </c>
      <c r="FX31" s="846">
        <f t="shared" si="128"/>
        <v>4</v>
      </c>
      <c r="FY31" s="846">
        <f t="shared" si="128"/>
        <v>5</v>
      </c>
      <c r="FZ31" s="846">
        <v>9</v>
      </c>
      <c r="GA31" s="846">
        <f t="shared" si="128"/>
        <v>10</v>
      </c>
      <c r="GB31" s="846">
        <f t="shared" si="128"/>
        <v>11</v>
      </c>
      <c r="GC31" s="846">
        <f t="shared" si="128"/>
        <v>12</v>
      </c>
      <c r="GG31" s="846"/>
      <c r="GH31" s="846"/>
      <c r="GI31" s="846" t="s">
        <v>438</v>
      </c>
      <c r="GJ31" s="846">
        <v>3</v>
      </c>
      <c r="GK31" s="846">
        <f t="shared" ref="GK31:GR31" si="129">+GJ31+1</f>
        <v>4</v>
      </c>
      <c r="GL31" s="846">
        <f t="shared" si="129"/>
        <v>5</v>
      </c>
      <c r="GM31" s="846">
        <f t="shared" si="129"/>
        <v>6</v>
      </c>
      <c r="GN31" s="846">
        <f t="shared" si="129"/>
        <v>7</v>
      </c>
      <c r="GO31" s="846">
        <f t="shared" si="129"/>
        <v>8</v>
      </c>
      <c r="GP31" s="846">
        <f t="shared" si="129"/>
        <v>9</v>
      </c>
      <c r="GQ31" s="846">
        <f t="shared" si="129"/>
        <v>10</v>
      </c>
      <c r="GR31" s="846">
        <f t="shared" si="129"/>
        <v>11</v>
      </c>
      <c r="GS31" s="716"/>
      <c r="GV31" s="846"/>
      <c r="GW31" s="846"/>
      <c r="GX31" s="846" t="s">
        <v>437</v>
      </c>
      <c r="GY31" s="856">
        <v>4</v>
      </c>
      <c r="GZ31" s="856">
        <v>10</v>
      </c>
      <c r="HA31" s="856">
        <v>11</v>
      </c>
      <c r="HB31" s="856"/>
      <c r="HC31" s="856"/>
      <c r="HD31" s="856"/>
      <c r="HE31" s="61"/>
      <c r="HH31" s="61"/>
      <c r="HI31" s="61"/>
      <c r="HJ31" s="61"/>
      <c r="HK31" s="61"/>
      <c r="HL31" s="61"/>
      <c r="HM31" s="61"/>
      <c r="HN31" s="61"/>
      <c r="IB31" s="49"/>
      <c r="IQ31" s="49"/>
      <c r="JJ31" s="716"/>
      <c r="JK31" s="358"/>
      <c r="JL31" s="358"/>
      <c r="JM31" s="716"/>
      <c r="JN31" s="716"/>
    </row>
    <row r="32" spans="3:294" x14ac:dyDescent="0.3">
      <c r="I32" s="49"/>
      <c r="U32" s="49"/>
      <c r="AC32" s="49"/>
      <c r="AJ32" s="49"/>
      <c r="AK32" s="49"/>
      <c r="AL32" s="49"/>
      <c r="AM32" s="49"/>
      <c r="BD32" s="49"/>
      <c r="BE32" s="49"/>
      <c r="BF32" s="49"/>
      <c r="BG32" s="49"/>
      <c r="BH32" s="49"/>
      <c r="BK32" s="49"/>
      <c r="BW32" s="42"/>
      <c r="BX32" s="10"/>
      <c r="BY32" s="10"/>
      <c r="BZ32" s="10"/>
      <c r="CA32" s="10"/>
      <c r="CB32" s="10"/>
      <c r="CC32" s="10"/>
      <c r="CD32" s="10"/>
      <c r="CE32" s="10"/>
      <c r="CH32" s="49"/>
      <c r="CU32" s="49"/>
      <c r="DE32" s="10"/>
      <c r="DG32" s="49"/>
      <c r="DV32" s="49"/>
      <c r="DW32" s="849"/>
      <c r="DX32" s="849"/>
      <c r="DY32" s="849" t="s">
        <v>432</v>
      </c>
      <c r="DZ32" s="849">
        <v>7</v>
      </c>
      <c r="EA32" s="849"/>
      <c r="EB32" s="849">
        <v>4</v>
      </c>
      <c r="EE32" s="49"/>
      <c r="EM32" s="49"/>
      <c r="EN32" s="845"/>
      <c r="EO32" s="845"/>
      <c r="EP32" s="845"/>
      <c r="EQ32" s="845"/>
      <c r="ER32" s="845"/>
      <c r="ES32" s="845"/>
      <c r="ET32" s="845"/>
      <c r="EU32" s="845"/>
      <c r="EV32" s="848"/>
      <c r="EW32" s="845"/>
      <c r="EX32" s="845"/>
      <c r="EY32" s="845"/>
      <c r="FB32" s="49"/>
      <c r="FH32" s="49"/>
      <c r="FI32" s="716"/>
      <c r="FJ32" s="716"/>
      <c r="FK32" s="716"/>
      <c r="FL32" s="716"/>
      <c r="FM32" s="716"/>
      <c r="FN32" s="716"/>
      <c r="FR32" s="716"/>
      <c r="FS32" s="716"/>
      <c r="FT32" s="716"/>
      <c r="FU32" s="716"/>
      <c r="FV32" s="716"/>
      <c r="FW32" s="716"/>
      <c r="FX32" s="716"/>
      <c r="FY32" s="716"/>
      <c r="FZ32" s="716"/>
      <c r="GA32" s="716"/>
      <c r="GB32" s="716"/>
      <c r="GC32" s="716"/>
      <c r="GS32" s="716"/>
      <c r="GV32" s="846"/>
      <c r="GW32" s="846"/>
      <c r="GX32" s="846" t="s">
        <v>433</v>
      </c>
      <c r="GY32" s="856">
        <v>2</v>
      </c>
      <c r="GZ32" s="856">
        <f>GY32+1</f>
        <v>3</v>
      </c>
      <c r="HA32" s="856">
        <f t="shared" ref="HA32:HD32" si="130">GZ32+1</f>
        <v>4</v>
      </c>
      <c r="HB32" s="856">
        <f t="shared" si="130"/>
        <v>5</v>
      </c>
      <c r="HC32" s="856">
        <f t="shared" si="130"/>
        <v>6</v>
      </c>
      <c r="HD32" s="856">
        <f t="shared" si="130"/>
        <v>7</v>
      </c>
      <c r="HU32" s="866"/>
      <c r="HV32" s="866"/>
      <c r="IB32" s="49"/>
      <c r="IQ32" s="49"/>
      <c r="JJ32" s="716"/>
      <c r="JK32" s="891"/>
      <c r="JL32" s="891"/>
      <c r="JM32" s="716"/>
      <c r="JN32" s="716"/>
    </row>
    <row r="33" spans="9:274" x14ac:dyDescent="0.3">
      <c r="I33" s="49"/>
      <c r="U33" s="49"/>
      <c r="AC33" s="49"/>
      <c r="AJ33" s="49"/>
      <c r="AK33" s="49"/>
      <c r="AL33" s="49"/>
      <c r="AM33" s="49"/>
      <c r="BD33" s="49"/>
      <c r="BE33" s="49"/>
      <c r="BF33" s="49"/>
      <c r="BG33" s="49"/>
      <c r="BH33" s="49"/>
      <c r="BK33" s="49"/>
      <c r="BW33" s="42"/>
      <c r="BX33" s="10"/>
      <c r="BY33" s="10"/>
      <c r="BZ33" s="10"/>
      <c r="CA33" s="10"/>
      <c r="CB33" s="10"/>
      <c r="CC33" s="10"/>
      <c r="CD33" s="10"/>
      <c r="CE33" s="10"/>
      <c r="CH33" s="49"/>
      <c r="CU33" s="49"/>
      <c r="DE33" s="10"/>
      <c r="DG33" s="49"/>
      <c r="DV33" s="49"/>
      <c r="EE33" s="49"/>
      <c r="EM33" s="49"/>
      <c r="FB33" s="49"/>
      <c r="FH33" s="49"/>
      <c r="GS33" s="716"/>
      <c r="GW33" s="716"/>
      <c r="GX33" s="716"/>
      <c r="GY33" s="716"/>
      <c r="GZ33" s="716"/>
      <c r="HA33" s="716"/>
      <c r="HB33" s="716"/>
      <c r="HC33" s="716"/>
      <c r="HD33" s="716"/>
      <c r="IB33" s="49"/>
      <c r="IQ33" s="49"/>
      <c r="JJ33" s="716"/>
      <c r="JK33" s="716"/>
      <c r="JL33" s="716"/>
      <c r="JM33" s="716"/>
      <c r="JN33" s="716"/>
    </row>
    <row r="34" spans="9:274" x14ac:dyDescent="0.3">
      <c r="I34" s="49"/>
      <c r="U34" s="49"/>
      <c r="AC34" s="49"/>
      <c r="AJ34" s="49"/>
      <c r="AK34" s="49"/>
      <c r="AL34" s="49"/>
      <c r="AM34" s="49"/>
      <c r="BD34" s="49"/>
      <c r="BE34" s="49"/>
      <c r="BF34" s="49"/>
      <c r="BG34" s="49"/>
      <c r="BH34" s="49"/>
      <c r="BK34" s="49"/>
      <c r="BW34" s="42"/>
      <c r="BX34" s="10"/>
      <c r="BY34" s="10"/>
      <c r="BZ34" s="10"/>
      <c r="CA34" s="10"/>
      <c r="CB34" s="10"/>
      <c r="CC34" s="10"/>
      <c r="CD34" s="10"/>
      <c r="CE34" s="10"/>
      <c r="CH34" s="49"/>
      <c r="CU34" s="49"/>
      <c r="DE34" s="10"/>
      <c r="DG34" s="49"/>
      <c r="DV34" s="49"/>
      <c r="EE34" s="49"/>
      <c r="EM34" s="49"/>
      <c r="EN34" s="716"/>
      <c r="EO34" s="716"/>
      <c r="EP34" s="716"/>
      <c r="EQ34" s="716"/>
      <c r="ER34" s="716"/>
      <c r="ES34" s="716"/>
      <c r="ET34" s="716"/>
      <c r="EU34" s="716"/>
      <c r="EV34" s="716"/>
      <c r="EW34" s="716"/>
      <c r="EX34" s="716"/>
      <c r="EY34" s="716"/>
      <c r="FB34" s="49"/>
      <c r="FH34" s="49"/>
      <c r="GH34" s="716"/>
      <c r="GI34" s="716"/>
      <c r="GJ34" s="716"/>
      <c r="GK34" s="716"/>
      <c r="GL34" s="716"/>
      <c r="GM34" s="716"/>
      <c r="GN34" s="716"/>
      <c r="GO34" s="716"/>
      <c r="GP34" s="716"/>
      <c r="GQ34" s="716"/>
      <c r="GR34" s="716"/>
      <c r="GS34" s="716"/>
      <c r="HE34" s="12"/>
      <c r="HH34" s="12"/>
      <c r="HI34" s="12"/>
      <c r="HJ34" s="12"/>
      <c r="HK34" s="12"/>
      <c r="HL34" s="12"/>
      <c r="HM34" s="12"/>
      <c r="HN34" s="12"/>
      <c r="HV34" s="35"/>
      <c r="IB34" s="49"/>
      <c r="IQ34" s="49"/>
    </row>
    <row r="35" spans="9:274" x14ac:dyDescent="0.3">
      <c r="I35" s="49"/>
      <c r="M35" s="12"/>
      <c r="N35" s="12"/>
      <c r="O35" s="12"/>
      <c r="P35" s="12"/>
      <c r="Q35" s="12"/>
      <c r="R35" s="12"/>
      <c r="U35" s="49"/>
      <c r="AC35" s="49"/>
      <c r="AJ35" s="49"/>
      <c r="AK35" s="49"/>
      <c r="AL35" s="49"/>
      <c r="AM35" s="49"/>
      <c r="BD35" s="49"/>
      <c r="BK35" s="49"/>
      <c r="BW35" s="42"/>
      <c r="BX35" s="10"/>
      <c r="BY35" s="10"/>
      <c r="BZ35" s="10"/>
      <c r="CA35" s="10"/>
      <c r="CB35" s="10"/>
      <c r="CC35" s="10"/>
      <c r="CD35" s="10"/>
      <c r="CE35" s="10"/>
      <c r="CH35" s="49"/>
      <c r="CU35" s="49"/>
      <c r="DE35" s="10"/>
      <c r="EE35" s="49"/>
      <c r="EM35" s="49"/>
      <c r="EN35" s="716"/>
      <c r="EO35" s="716"/>
      <c r="EP35" s="716"/>
      <c r="EQ35" s="716"/>
      <c r="ER35" s="716"/>
      <c r="ES35" s="716"/>
      <c r="ET35" s="716"/>
      <c r="EU35" s="716"/>
      <c r="EV35" s="716"/>
      <c r="EW35" s="716"/>
      <c r="EX35" s="716"/>
      <c r="EY35" s="716"/>
      <c r="FB35" s="49"/>
      <c r="FN35" s="716"/>
      <c r="FR35" s="716"/>
      <c r="FS35" s="716"/>
      <c r="FT35" s="716"/>
      <c r="FU35" s="716"/>
      <c r="FV35" s="716"/>
      <c r="FW35" s="716"/>
      <c r="FX35" s="716"/>
      <c r="FY35" s="716"/>
      <c r="FZ35" s="716"/>
      <c r="GA35" s="716"/>
      <c r="GB35" s="716"/>
      <c r="GC35" s="716"/>
      <c r="GH35" s="716"/>
      <c r="GI35" s="716"/>
      <c r="GJ35" s="716"/>
      <c r="GK35" s="716"/>
      <c r="GL35" s="716"/>
      <c r="GM35" s="716"/>
      <c r="GN35" s="716"/>
      <c r="GO35" s="716"/>
      <c r="GP35" s="716"/>
      <c r="GQ35" s="716"/>
      <c r="GR35" s="716"/>
      <c r="GS35" s="716"/>
      <c r="HE35" s="12"/>
      <c r="HH35" s="12"/>
      <c r="HI35" s="12"/>
      <c r="HJ35" s="12"/>
      <c r="HK35" s="12"/>
      <c r="HL35" s="12"/>
      <c r="HM35" s="12"/>
      <c r="HN35" s="12"/>
      <c r="HV35" s="14"/>
      <c r="IB35" s="49"/>
      <c r="IQ35" s="49"/>
    </row>
    <row r="36" spans="9:274" x14ac:dyDescent="0.3">
      <c r="M36" s="12"/>
      <c r="N36" s="12"/>
      <c r="O36" s="12"/>
      <c r="P36" s="12"/>
      <c r="Q36" s="12"/>
      <c r="R36" s="12"/>
      <c r="AN36" s="87"/>
      <c r="BW36" s="10"/>
      <c r="BX36" s="10"/>
      <c r="BY36" s="10"/>
      <c r="BZ36" s="10"/>
      <c r="CA36" s="10"/>
      <c r="CB36" s="10"/>
      <c r="CC36" s="10"/>
      <c r="CD36" s="10"/>
      <c r="CE36" s="10"/>
      <c r="CH36" s="49"/>
      <c r="DE36" s="10"/>
      <c r="EN36" s="716"/>
      <c r="EO36" s="716"/>
      <c r="EP36" s="716"/>
      <c r="EQ36" s="716"/>
      <c r="ER36" s="716"/>
      <c r="ES36" s="716"/>
      <c r="ET36" s="716"/>
      <c r="EU36" s="716"/>
      <c r="EV36" s="716"/>
      <c r="EW36" s="716"/>
      <c r="EX36" s="716"/>
      <c r="EY36" s="716"/>
      <c r="FR36" s="716"/>
      <c r="FS36" s="716"/>
      <c r="FT36" s="716"/>
      <c r="FU36" s="716"/>
      <c r="FV36" s="716"/>
      <c r="FW36" s="716"/>
      <c r="FX36" s="716"/>
      <c r="FY36" s="716"/>
      <c r="FZ36" s="716"/>
      <c r="GA36" s="716"/>
      <c r="GB36" s="716"/>
      <c r="GC36" s="716"/>
      <c r="GH36" s="716"/>
      <c r="GI36" s="716"/>
      <c r="GJ36" s="716"/>
      <c r="GK36" s="716"/>
      <c r="GL36" s="716"/>
      <c r="GM36" s="716"/>
      <c r="GN36" s="716"/>
      <c r="GO36" s="716"/>
      <c r="GP36" s="716"/>
      <c r="GQ36" s="716"/>
      <c r="GR36" s="716"/>
      <c r="GS36" s="716"/>
      <c r="GW36" s="716"/>
      <c r="GX36" s="716"/>
      <c r="GY36" s="716"/>
      <c r="GZ36" s="716"/>
      <c r="HA36" s="716"/>
      <c r="HB36" s="716"/>
      <c r="HC36" s="716"/>
      <c r="HD36" s="716"/>
    </row>
    <row r="37" spans="9:274" x14ac:dyDescent="0.3">
      <c r="BW37" s="10"/>
      <c r="BX37" s="10"/>
      <c r="BY37" s="10"/>
      <c r="BZ37" s="10"/>
      <c r="CA37" s="10"/>
      <c r="CB37" s="10"/>
      <c r="CC37" s="10"/>
      <c r="CD37" s="10"/>
      <c r="CE37" s="10"/>
      <c r="DE37" s="10"/>
      <c r="GH37" s="716"/>
      <c r="GI37" s="716"/>
      <c r="GJ37" s="716"/>
      <c r="GK37" s="716"/>
      <c r="GL37" s="716"/>
      <c r="GM37" s="716"/>
      <c r="GN37" s="716"/>
      <c r="GO37" s="716"/>
      <c r="GP37" s="716"/>
      <c r="GQ37" s="716"/>
      <c r="GR37" s="716"/>
      <c r="GS37" s="716"/>
      <c r="GW37" s="716"/>
      <c r="GX37" s="716"/>
      <c r="GY37" s="716"/>
      <c r="GZ37" s="716"/>
      <c r="HA37" s="716"/>
      <c r="HB37" s="716"/>
      <c r="HC37" s="716"/>
      <c r="HD37" s="716"/>
    </row>
    <row r="38" spans="9:274" x14ac:dyDescent="0.3">
      <c r="BW38" s="10"/>
      <c r="BX38" s="10"/>
      <c r="BY38" s="10"/>
      <c r="BZ38" s="10"/>
      <c r="CA38" s="10"/>
      <c r="CB38" s="10"/>
      <c r="CC38" s="10"/>
      <c r="CD38" s="10"/>
      <c r="CE38" s="10"/>
      <c r="DE38" s="10"/>
      <c r="GH38" s="716"/>
      <c r="GI38" s="716"/>
      <c r="GJ38" s="716"/>
      <c r="GK38" s="716"/>
      <c r="GL38" s="716"/>
      <c r="GM38" s="716"/>
      <c r="GN38" s="716"/>
      <c r="GO38" s="716"/>
      <c r="GP38" s="716"/>
      <c r="GQ38" s="716"/>
      <c r="GR38" s="716"/>
      <c r="GS38" s="716"/>
      <c r="GW38" s="716"/>
      <c r="GX38" s="716"/>
      <c r="GY38" s="716"/>
      <c r="GZ38" s="716"/>
      <c r="HA38" s="716"/>
      <c r="HB38" s="716"/>
      <c r="HC38" s="716"/>
      <c r="HD38" s="716"/>
    </row>
    <row r="39" spans="9:274" x14ac:dyDescent="0.3">
      <c r="BW39" s="10"/>
      <c r="BX39" s="10"/>
      <c r="BY39" s="10"/>
      <c r="BZ39" s="10"/>
      <c r="CA39" s="10"/>
      <c r="CB39" s="10"/>
      <c r="CC39" s="10"/>
      <c r="CD39" s="10"/>
      <c r="CE39" s="10"/>
      <c r="DE39" s="10"/>
      <c r="GH39" s="716"/>
      <c r="GI39" s="716"/>
      <c r="GJ39" s="716"/>
      <c r="GK39" s="716"/>
      <c r="GL39" s="716"/>
      <c r="GM39" s="716"/>
      <c r="GN39" s="716"/>
      <c r="GO39" s="716"/>
      <c r="GP39" s="716"/>
      <c r="GQ39" s="716"/>
      <c r="GR39" s="716"/>
      <c r="GS39" s="716"/>
      <c r="GW39" s="716"/>
      <c r="GX39" s="716"/>
      <c r="GY39" s="716"/>
    </row>
    <row r="40" spans="9:274" x14ac:dyDescent="0.3">
      <c r="BW40" s="10"/>
      <c r="BX40" s="10"/>
      <c r="BY40" s="10"/>
      <c r="BZ40" s="10"/>
      <c r="CA40" s="10"/>
      <c r="CB40" s="10"/>
      <c r="CC40" s="10"/>
      <c r="CD40" s="10"/>
      <c r="CE40" s="10"/>
      <c r="DE40" s="10"/>
      <c r="HA40" s="860"/>
    </row>
    <row r="41" spans="9:274" x14ac:dyDescent="0.3">
      <c r="BW41" s="10"/>
      <c r="BX41" s="10"/>
      <c r="BY41" s="10"/>
      <c r="BZ41" s="10"/>
      <c r="CA41" s="10"/>
      <c r="CB41" s="10"/>
      <c r="CC41" s="10"/>
      <c r="CD41" s="10"/>
      <c r="CE41" s="10"/>
      <c r="DE41" s="10"/>
      <c r="HA41" s="860"/>
    </row>
    <row r="42" spans="9:274" x14ac:dyDescent="0.3">
      <c r="BW42" s="10"/>
      <c r="BX42" s="10"/>
      <c r="BY42" s="10"/>
      <c r="BZ42" s="10"/>
      <c r="CA42" s="10"/>
      <c r="CB42" s="10"/>
      <c r="CC42" s="10"/>
      <c r="CD42" s="10"/>
      <c r="CE42" s="10"/>
      <c r="DE42" s="10"/>
    </row>
    <row r="43" spans="9:274" x14ac:dyDescent="0.3">
      <c r="BW43" s="10"/>
      <c r="BX43" s="10"/>
      <c r="BY43" s="10"/>
      <c r="BZ43" s="10"/>
      <c r="CA43" s="10"/>
      <c r="CB43" s="10"/>
      <c r="CC43" s="10"/>
      <c r="CD43" s="10"/>
      <c r="CE43" s="10"/>
      <c r="DE43" s="10"/>
    </row>
    <row r="44" spans="9:274" x14ac:dyDescent="0.3">
      <c r="BW44" s="10"/>
      <c r="BX44" s="10"/>
      <c r="BY44" s="10"/>
      <c r="BZ44" s="10"/>
      <c r="CA44" s="10"/>
      <c r="CB44" s="10"/>
      <c r="CC44" s="10"/>
      <c r="CD44" s="10"/>
      <c r="CE44" s="10"/>
      <c r="DE44" s="10"/>
    </row>
    <row r="45" spans="9:274" x14ac:dyDescent="0.3">
      <c r="BW45" s="10"/>
      <c r="BX45" s="10"/>
      <c r="BY45" s="10"/>
      <c r="BZ45" s="10"/>
      <c r="CA45" s="10"/>
      <c r="CB45" s="10"/>
      <c r="CC45" s="10"/>
      <c r="CD45" s="10"/>
      <c r="CE45" s="10"/>
      <c r="DE45" s="10"/>
    </row>
    <row r="46" spans="9:274" x14ac:dyDescent="0.3">
      <c r="BW46" s="10"/>
      <c r="BX46" s="10"/>
      <c r="BY46" s="10"/>
      <c r="BZ46" s="10"/>
      <c r="CA46" s="10"/>
      <c r="CB46" s="10"/>
      <c r="CC46" s="10"/>
      <c r="CD46" s="10"/>
      <c r="CE46" s="10"/>
      <c r="DE46" s="10"/>
    </row>
    <row r="47" spans="9:274" x14ac:dyDescent="0.3">
      <c r="BW47" s="10"/>
      <c r="BX47" s="10"/>
      <c r="BY47" s="10"/>
      <c r="BZ47" s="10"/>
      <c r="CA47" s="10"/>
      <c r="CB47" s="10"/>
      <c r="CC47" s="10"/>
      <c r="CD47" s="10"/>
      <c r="CE47" s="10"/>
      <c r="DE47" s="10"/>
    </row>
    <row r="48" spans="9:274" x14ac:dyDescent="0.3">
      <c r="BW48" s="10"/>
      <c r="BX48" s="10"/>
      <c r="BY48" s="10"/>
      <c r="BZ48" s="10"/>
      <c r="CA48" s="10"/>
      <c r="CB48" s="10"/>
      <c r="CC48" s="10"/>
      <c r="CD48" s="10"/>
      <c r="CE48" s="10"/>
      <c r="DE48" s="10"/>
    </row>
    <row r="49" spans="75:109" x14ac:dyDescent="0.3">
      <c r="BW49" s="10"/>
      <c r="BX49" s="10"/>
      <c r="BY49" s="10"/>
      <c r="BZ49" s="10"/>
      <c r="CA49" s="10"/>
      <c r="CB49" s="10"/>
      <c r="CC49" s="10"/>
      <c r="CD49" s="10"/>
      <c r="CE49" s="10"/>
      <c r="DE49" s="10"/>
    </row>
    <row r="50" spans="75:109" x14ac:dyDescent="0.3">
      <c r="BW50" s="10"/>
      <c r="BX50" s="10"/>
      <c r="BY50" s="10"/>
      <c r="BZ50" s="10"/>
      <c r="CA50" s="10"/>
      <c r="CB50" s="10"/>
      <c r="CC50" s="10"/>
      <c r="CD50" s="10"/>
      <c r="CE50" s="10"/>
      <c r="DE50" s="10"/>
    </row>
  </sheetData>
  <mergeCells count="25">
    <mergeCell ref="JG1:JO1"/>
    <mergeCell ref="GG1:GR1"/>
    <mergeCell ref="GV1:HD1"/>
    <mergeCell ref="HH1:HM1"/>
    <mergeCell ref="HQ1:HY1"/>
    <mergeCell ref="IC1:IL1"/>
    <mergeCell ref="IP1:JC1"/>
    <mergeCell ref="DW1:EB1"/>
    <mergeCell ref="EF1:EJ1"/>
    <mergeCell ref="EN1:EY1"/>
    <mergeCell ref="FC1:FE1"/>
    <mergeCell ref="FI1:FN1"/>
    <mergeCell ref="FR1:GC1"/>
    <mergeCell ref="BE1:BH1"/>
    <mergeCell ref="BL1:BT1"/>
    <mergeCell ref="BX1:CE1"/>
    <mergeCell ref="CI1:CR1"/>
    <mergeCell ref="CV1:DD1"/>
    <mergeCell ref="DH1:DS1"/>
    <mergeCell ref="B1:F1"/>
    <mergeCell ref="J1:R1"/>
    <mergeCell ref="V1:Z1"/>
    <mergeCell ref="AD1:AG1"/>
    <mergeCell ref="AK1:AM1"/>
    <mergeCell ref="AQ1:BA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7624D-883B-45DA-A0EE-07D597DD5C5D}">
  <dimension ref="A1:NW55"/>
  <sheetViews>
    <sheetView zoomScale="90" zoomScaleNormal="90" workbookViewId="0">
      <selection activeCell="H12" sqref="H12"/>
    </sheetView>
  </sheetViews>
  <sheetFormatPr defaultRowHeight="16.5" x14ac:dyDescent="0.3"/>
  <cols>
    <col min="1" max="1" width="2.42578125" style="518" customWidth="1"/>
    <col min="2" max="2" width="4.140625" style="518" customWidth="1"/>
    <col min="3" max="4" width="2.42578125" style="518" customWidth="1"/>
    <col min="5" max="5" width="33.140625" style="518" customWidth="1"/>
    <col min="6" max="6" width="19" style="518" customWidth="1"/>
    <col min="7" max="7" width="12.140625" style="518" customWidth="1"/>
    <col min="8" max="8" width="17.85546875" style="518" customWidth="1"/>
    <col min="9" max="9" width="12" style="518" customWidth="1"/>
    <col min="10" max="11" width="17.28515625" style="518" customWidth="1"/>
    <col min="12" max="12" width="11.5703125" style="518" customWidth="1"/>
    <col min="13" max="13" width="16.7109375" style="518" customWidth="1"/>
    <col min="14" max="14" width="17.85546875" style="518" customWidth="1"/>
    <col min="15" max="15" width="12" style="518" customWidth="1"/>
    <col min="16" max="16" width="18.42578125" style="518" customWidth="1"/>
    <col min="17" max="18" width="17.28515625" style="518" customWidth="1"/>
    <col min="19" max="19" width="7" style="518" customWidth="1"/>
    <col min="20" max="20" width="7" style="102" customWidth="1"/>
    <col min="21" max="21" width="7" style="518" customWidth="1"/>
    <col min="22" max="22" width="4.5703125" style="518" customWidth="1"/>
    <col min="23" max="23" width="61.85546875" style="518" customWidth="1"/>
    <col min="24" max="27" width="14.85546875" style="518" customWidth="1"/>
    <col min="28" max="28" width="3" style="518" customWidth="1"/>
    <col min="29" max="29" width="5.85546875" style="518" customWidth="1"/>
    <col min="30" max="30" width="7" style="102" customWidth="1"/>
    <col min="31" max="31" width="6.28515625" style="518" customWidth="1"/>
    <col min="32" max="32" width="4.5703125" style="518" customWidth="1"/>
    <col min="33" max="33" width="27" style="518" customWidth="1"/>
    <col min="34" max="36" width="20.140625" style="518" customWidth="1"/>
    <col min="37" max="37" width="7" style="518" customWidth="1"/>
    <col min="38" max="38" width="4" style="102" customWidth="1"/>
    <col min="39" max="39" width="2.42578125" style="518" customWidth="1"/>
    <col min="40" max="40" width="4.140625" style="518" customWidth="1"/>
    <col min="41" max="42" width="2.42578125" style="518" customWidth="1"/>
    <col min="43" max="43" width="32.7109375" style="518" customWidth="1"/>
    <col min="44" max="44" width="7.5703125" style="518" customWidth="1"/>
    <col min="45" max="45" width="16.5703125" style="518" hidden="1" customWidth="1"/>
    <col min="46" max="46" width="17.140625" style="518" hidden="1" customWidth="1"/>
    <col min="47" max="47" width="2.42578125" style="518" hidden="1" customWidth="1"/>
    <col min="48" max="48" width="15.42578125" style="518" hidden="1" customWidth="1"/>
    <col min="49" max="49" width="16.7109375" style="518" hidden="1" customWidth="1"/>
    <col min="50" max="50" width="12.140625" style="518" hidden="1" customWidth="1"/>
    <col min="51" max="51" width="1.85546875" style="518" hidden="1" customWidth="1"/>
    <col min="52" max="52" width="15.42578125" style="518" hidden="1" customWidth="1"/>
    <col min="53" max="53" width="16.7109375" style="518" hidden="1" customWidth="1"/>
    <col min="54" max="54" width="12.140625" style="518" hidden="1" customWidth="1"/>
    <col min="55" max="55" width="2.42578125" style="518" hidden="1" customWidth="1"/>
    <col min="56" max="56" width="15.42578125" style="518" hidden="1" customWidth="1"/>
    <col min="57" max="57" width="16.7109375" style="518" hidden="1" customWidth="1"/>
    <col min="58" max="58" width="12.140625" style="518" hidden="1" customWidth="1"/>
    <col min="59" max="59" width="2.42578125" style="518" hidden="1" customWidth="1"/>
    <col min="60" max="60" width="15.42578125" style="518" hidden="1" customWidth="1"/>
    <col min="61" max="61" width="16.7109375" style="518" hidden="1" customWidth="1"/>
    <col min="62" max="62" width="12.140625" style="518" hidden="1" customWidth="1"/>
    <col min="63" max="63" width="1.85546875" style="518" hidden="1" customWidth="1"/>
    <col min="64" max="64" width="15.42578125" style="518" hidden="1" customWidth="1"/>
    <col min="65" max="65" width="16.7109375" style="518" hidden="1" customWidth="1"/>
    <col min="66" max="66" width="12.140625" style="518" hidden="1" customWidth="1"/>
    <col min="67" max="67" width="1.85546875" style="518" hidden="1" customWidth="1"/>
    <col min="68" max="68" width="15.42578125" style="518" hidden="1" customWidth="1"/>
    <col min="69" max="69" width="16.7109375" style="518" hidden="1" customWidth="1"/>
    <col min="70" max="70" width="12.140625" style="518" hidden="1" customWidth="1"/>
    <col min="71" max="71" width="1.85546875" style="518" hidden="1" customWidth="1"/>
    <col min="72" max="72" width="18.42578125" style="518" hidden="1" customWidth="1"/>
    <col min="73" max="77" width="16.5703125" style="518" hidden="1" customWidth="1"/>
    <col min="78" max="79" width="16.5703125" style="518" customWidth="1"/>
    <col min="80" max="80" width="16.5703125" style="518" hidden="1" customWidth="1"/>
    <col min="81" max="81" width="18.42578125" style="518" customWidth="1"/>
    <col min="82" max="85" width="16.5703125" style="518" customWidth="1"/>
    <col min="86" max="86" width="2.85546875" style="518" customWidth="1"/>
    <col min="87" max="87" width="3" style="102" customWidth="1"/>
    <col min="88" max="88" width="3" style="518" customWidth="1"/>
    <col min="89" max="89" width="4.7109375" style="518" customWidth="1"/>
    <col min="90" max="90" width="17.140625" style="518" customWidth="1"/>
    <col min="91" max="91" width="15.5703125" style="518" customWidth="1"/>
    <col min="92" max="92" width="17.140625" style="518" bestFit="1" customWidth="1"/>
    <col min="93" max="93" width="15.5703125" style="518" customWidth="1"/>
    <col min="94" max="94" width="17.5703125" style="518" bestFit="1" customWidth="1"/>
    <col min="95" max="95" width="15.5703125" style="518" customWidth="1"/>
    <col min="96" max="96" width="17.5703125" style="518" customWidth="1"/>
    <col min="97" max="97" width="15.5703125" style="518" customWidth="1"/>
    <col min="98" max="98" width="17.5703125" style="518" bestFit="1" customWidth="1"/>
    <col min="99" max="99" width="3" style="518" customWidth="1"/>
    <col min="100" max="100" width="3" style="102" customWidth="1"/>
    <col min="101" max="101" width="3" style="518" customWidth="1"/>
    <col min="102" max="102" width="5.28515625" style="518" customWidth="1"/>
    <col min="103" max="103" width="17.140625" style="518" customWidth="1"/>
    <col min="104" max="104" width="16.5703125" style="518" customWidth="1"/>
    <col min="105" max="105" width="16.5703125" style="103" customWidth="1"/>
    <col min="106" max="107" width="16.5703125" style="518" customWidth="1"/>
    <col min="108" max="108" width="20.140625" style="518" customWidth="1"/>
    <col min="109" max="109" width="3" style="518" customWidth="1"/>
    <col min="110" max="110" width="3" style="102" customWidth="1"/>
    <col min="111" max="111" width="3" style="518" customWidth="1"/>
    <col min="112" max="112" width="5.28515625" style="518" customWidth="1"/>
    <col min="113" max="113" width="15.5703125" style="518" customWidth="1"/>
    <col min="114" max="114" width="17.85546875" style="518" customWidth="1"/>
    <col min="115" max="115" width="17.85546875" style="103" customWidth="1"/>
    <col min="116" max="117" width="17.85546875" style="518" customWidth="1"/>
    <col min="118" max="118" width="3" style="518" customWidth="1"/>
    <col min="119" max="119" width="3" style="102" customWidth="1"/>
    <col min="120" max="120" width="2.42578125" style="518" customWidth="1"/>
    <col min="121" max="121" width="5.28515625" style="518" customWidth="1"/>
    <col min="122" max="122" width="34.85546875" style="104" customWidth="1"/>
    <col min="123" max="123" width="15.5703125" style="96" customWidth="1"/>
    <col min="124" max="124" width="16.5703125" style="96" customWidth="1"/>
    <col min="125" max="125" width="16.7109375" style="96" bestFit="1" customWidth="1"/>
    <col min="126" max="126" width="17.140625" style="96" bestFit="1" customWidth="1"/>
    <col min="127" max="128" width="15.5703125" style="518" customWidth="1"/>
    <col min="129" max="130" width="17.140625" style="518" bestFit="1" customWidth="1"/>
    <col min="131" max="131" width="3" style="518" customWidth="1"/>
    <col min="132" max="132" width="3" style="102" customWidth="1"/>
    <col min="133" max="133" width="3" style="518" customWidth="1"/>
    <col min="134" max="134" width="5.28515625" style="518" customWidth="1"/>
    <col min="135" max="135" width="17.28515625" style="518" customWidth="1"/>
    <col min="136" max="143" width="15.5703125" style="518" customWidth="1"/>
    <col min="144" max="144" width="3" style="518" customWidth="1"/>
    <col min="145" max="145" width="3" style="102" customWidth="1"/>
    <col min="146" max="146" width="3" style="518" customWidth="1"/>
    <col min="147" max="147" width="4.5703125" style="518" customWidth="1"/>
    <col min="148" max="148" width="16.5703125" style="518" customWidth="1"/>
    <col min="149" max="150" width="15.5703125" style="518" bestFit="1" customWidth="1"/>
    <col min="151" max="151" width="14.7109375" style="518" bestFit="1" customWidth="1"/>
    <col min="152" max="152" width="15.5703125" style="518" bestFit="1" customWidth="1"/>
    <col min="153" max="153" width="14.42578125" style="518" customWidth="1"/>
    <col min="154" max="155" width="15.5703125" style="518" bestFit="1" customWidth="1"/>
    <col min="156" max="156" width="15.85546875" style="518" bestFit="1" customWidth="1"/>
    <col min="157" max="157" width="16.7109375" style="518" customWidth="1"/>
    <col min="158" max="158" width="22" style="518" customWidth="1"/>
    <col min="159" max="159" width="16.7109375" style="518" customWidth="1"/>
    <col min="160" max="160" width="3" style="518" customWidth="1"/>
    <col min="161" max="161" width="3" style="102" customWidth="1"/>
    <col min="162" max="162" width="3" style="518" customWidth="1"/>
    <col min="163" max="163" width="5.28515625" style="518" customWidth="1"/>
    <col min="164" max="164" width="1.28515625" style="518" customWidth="1"/>
    <col min="165" max="165" width="38.28515625" style="518" customWidth="1"/>
    <col min="166" max="167" width="15.5703125" style="518" bestFit="1" customWidth="1"/>
    <col min="168" max="168" width="15.85546875" style="518" bestFit="1" customWidth="1"/>
    <col min="169" max="169" width="17.140625" style="518" bestFit="1" customWidth="1"/>
    <col min="170" max="170" width="15" style="518" bestFit="1" customWidth="1"/>
    <col min="171" max="172" width="15.85546875" style="518" bestFit="1" customWidth="1"/>
    <col min="173" max="173" width="15.5703125" style="518" bestFit="1" customWidth="1"/>
    <col min="174" max="174" width="21.28515625" style="518" customWidth="1"/>
    <col min="175" max="175" width="3" style="518" customWidth="1"/>
    <col min="176" max="176" width="3" style="102" customWidth="1"/>
    <col min="177" max="177" width="3" style="518" customWidth="1"/>
    <col min="178" max="178" width="10.42578125" style="518" customWidth="1"/>
    <col min="179" max="179" width="34.28515625" style="518" bestFit="1" customWidth="1"/>
    <col min="180" max="180" width="13.28515625" style="518" bestFit="1" customWidth="1"/>
    <col min="181" max="181" width="13.5703125" style="518" bestFit="1" customWidth="1"/>
    <col min="182" max="183" width="15.5703125" style="518" bestFit="1" customWidth="1"/>
    <col min="184" max="184" width="11" style="518" bestFit="1" customWidth="1"/>
    <col min="185" max="185" width="13.140625" style="518" bestFit="1" customWidth="1"/>
    <col min="186" max="186" width="13.85546875" style="518" bestFit="1" customWidth="1"/>
    <col min="187" max="187" width="14.28515625" style="518" bestFit="1" customWidth="1"/>
    <col min="188" max="188" width="3" style="518" customWidth="1"/>
    <col min="189" max="189" width="3" style="102" customWidth="1"/>
    <col min="190" max="190" width="3" style="518" customWidth="1"/>
    <col min="191" max="191" width="10.42578125" style="518" customWidth="1"/>
    <col min="192" max="192" width="34.28515625" style="518" bestFit="1" customWidth="1"/>
    <col min="193" max="200" width="12.7109375" style="518" customWidth="1"/>
    <col min="201" max="201" width="3" style="518" customWidth="1"/>
    <col min="202" max="202" width="3" style="102" customWidth="1"/>
    <col min="203" max="203" width="3" style="518" customWidth="1"/>
    <col min="204" max="204" width="10.42578125" style="518" customWidth="1"/>
    <col min="205" max="205" width="27.5703125" style="518" customWidth="1"/>
    <col min="206" max="206" width="13.5703125" style="518" bestFit="1" customWidth="1"/>
    <col min="207" max="207" width="13.28515625" style="518" bestFit="1" customWidth="1"/>
    <col min="208" max="208" width="15" style="518" bestFit="1" customWidth="1"/>
    <col min="209" max="209" width="15.85546875" style="518" bestFit="1" customWidth="1"/>
    <col min="210" max="210" width="11.5703125" style="518" bestFit="1" customWidth="1"/>
    <col min="211" max="211" width="11" style="518" bestFit="1" customWidth="1"/>
    <col min="212" max="212" width="12.7109375" style="518" bestFit="1" customWidth="1"/>
    <col min="213" max="213" width="13.28515625" style="518" bestFit="1" customWidth="1"/>
    <col min="214" max="214" width="3" style="518" customWidth="1"/>
    <col min="215" max="215" width="3" style="102" customWidth="1"/>
    <col min="216" max="216" width="3" style="518" customWidth="1"/>
    <col min="217" max="217" width="5.28515625" style="518" customWidth="1"/>
    <col min="218" max="218" width="16.7109375" style="518" customWidth="1"/>
    <col min="219" max="221" width="17.28515625" style="518" customWidth="1"/>
    <col min="222" max="222" width="19.28515625" style="518" bestFit="1" customWidth="1"/>
    <col min="223" max="226" width="17.28515625" style="518" customWidth="1"/>
    <col min="227" max="227" width="3" style="518" customWidth="1"/>
    <col min="228" max="228" width="3" style="102" customWidth="1"/>
    <col min="229" max="229" width="3" style="518" customWidth="1"/>
    <col min="230" max="230" width="2.85546875" style="518" customWidth="1"/>
    <col min="231" max="231" width="5.7109375" style="518" customWidth="1"/>
    <col min="232" max="232" width="9.28515625" style="518" bestFit="1" customWidth="1"/>
    <col min="233" max="233" width="15.7109375" style="518" bestFit="1" customWidth="1"/>
    <col min="234" max="234" width="15.140625" style="518" bestFit="1" customWidth="1"/>
    <col min="235" max="235" width="24.85546875" style="518" bestFit="1" customWidth="1"/>
    <col min="236" max="236" width="26" style="518" bestFit="1" customWidth="1"/>
    <col min="237" max="237" width="8.5703125" style="518" bestFit="1" customWidth="1"/>
    <col min="238" max="238" width="10" style="518" bestFit="1" customWidth="1"/>
    <col min="239" max="241" width="10.28515625" style="518" bestFit="1" customWidth="1"/>
    <col min="242" max="242" width="4.140625" style="518" customWidth="1"/>
    <col min="243" max="243" width="4.140625" style="102" customWidth="1"/>
    <col min="244" max="244" width="4.140625" style="518" customWidth="1"/>
    <col min="245" max="245" width="5.28515625" style="518" customWidth="1"/>
    <col min="246" max="246" width="11.42578125" style="518" customWidth="1"/>
    <col min="247" max="247" width="11.85546875" style="518" customWidth="1"/>
    <col min="248" max="248" width="19.28515625" style="518" customWidth="1"/>
    <col min="249" max="249" width="15.140625" style="518" bestFit="1" customWidth="1"/>
    <col min="250" max="250" width="18.7109375" style="518" bestFit="1" customWidth="1"/>
    <col min="251" max="251" width="19" style="518" bestFit="1" customWidth="1"/>
    <col min="252" max="252" width="17.5703125" style="518" bestFit="1" customWidth="1"/>
    <col min="253" max="253" width="16.7109375" style="518" bestFit="1" customWidth="1"/>
    <col min="254" max="255" width="15.5703125" style="518" customWidth="1"/>
    <col min="256" max="256" width="16.28515625" style="518" bestFit="1" customWidth="1"/>
    <col min="257" max="257" width="15.42578125" style="518" bestFit="1" customWidth="1"/>
    <col min="258" max="258" width="4.140625" style="518" customWidth="1"/>
    <col min="259" max="259" width="4.140625" style="102" customWidth="1"/>
    <col min="260" max="260" width="4.140625" style="518" customWidth="1"/>
    <col min="261" max="261" width="5.28515625" style="518" customWidth="1"/>
    <col min="262" max="262" width="16.140625" style="518" customWidth="1"/>
    <col min="263" max="263" width="8.5703125" style="518" customWidth="1"/>
    <col min="264" max="264" width="10.28515625" style="518" customWidth="1"/>
    <col min="265" max="266" width="17.5703125" style="518" bestFit="1" customWidth="1"/>
    <col min="267" max="267" width="15.5703125" style="518" bestFit="1" customWidth="1"/>
    <col min="268" max="268" width="15.5703125" style="107" bestFit="1" customWidth="1"/>
    <col min="269" max="269" width="17.140625" style="518" bestFit="1" customWidth="1"/>
    <col min="270" max="270" width="16.140625" style="107" bestFit="1" customWidth="1"/>
    <col min="271" max="271" width="17.140625" style="518" bestFit="1" customWidth="1"/>
    <col min="272" max="272" width="16.7109375" style="518" bestFit="1" customWidth="1"/>
    <col min="273" max="273" width="15.85546875" style="518" bestFit="1" customWidth="1"/>
    <col min="274" max="274" width="15" style="518" bestFit="1" customWidth="1"/>
    <col min="275" max="276" width="15.5703125" style="518" bestFit="1" customWidth="1"/>
    <col min="277" max="278" width="15.85546875" style="518" bestFit="1" customWidth="1"/>
    <col min="279" max="279" width="15.5703125" style="518" bestFit="1" customWidth="1"/>
    <col min="280" max="280" width="17.140625" style="518" bestFit="1" customWidth="1"/>
    <col min="281" max="281" width="23" style="518" customWidth="1"/>
    <col min="282" max="282" width="27" style="518" customWidth="1"/>
    <col min="283" max="283" width="20.7109375" style="518" bestFit="1" customWidth="1"/>
    <col min="284" max="284" width="3.42578125" style="518" customWidth="1"/>
    <col min="285" max="285" width="3.42578125" style="102" customWidth="1"/>
    <col min="286" max="286" width="2.42578125" style="518" customWidth="1"/>
    <col min="287" max="287" width="6.42578125" style="518" customWidth="1"/>
    <col min="288" max="288" width="9.85546875" style="518" customWidth="1"/>
    <col min="289" max="289" width="8.85546875" style="518" bestFit="1" customWidth="1"/>
    <col min="290" max="290" width="9.85546875" style="518" customWidth="1"/>
    <col min="291" max="292" width="16.7109375" style="518" customWidth="1"/>
    <col min="293" max="293" width="8.7109375" style="518" customWidth="1"/>
    <col min="294" max="294" width="9.85546875" style="518" customWidth="1"/>
    <col min="295" max="295" width="8.85546875" style="518" bestFit="1" customWidth="1"/>
    <col min="296" max="296" width="10.42578125" style="518" customWidth="1"/>
    <col min="297" max="297" width="4.140625" style="518" customWidth="1"/>
    <col min="298" max="298" width="4.140625" style="102" customWidth="1"/>
    <col min="299" max="299" width="4.140625" style="518" customWidth="1"/>
    <col min="300" max="300" width="5.140625" style="518" customWidth="1"/>
    <col min="301" max="301" width="12.5703125" style="518" customWidth="1"/>
    <col min="302" max="302" width="12.140625" style="518" customWidth="1"/>
    <col min="303" max="305" width="13.140625" style="518" customWidth="1"/>
    <col min="306" max="307" width="19" style="518" bestFit="1" customWidth="1"/>
    <col min="308" max="308" width="16.7109375" style="518" bestFit="1" customWidth="1"/>
    <col min="309" max="309" width="18.140625" style="518" bestFit="1" customWidth="1"/>
    <col min="310" max="311" width="15.85546875" style="518" bestFit="1" customWidth="1"/>
    <col min="312" max="312" width="17.5703125" style="518" bestFit="1" customWidth="1"/>
    <col min="313" max="313" width="18.7109375" style="518" bestFit="1" customWidth="1"/>
    <col min="314" max="314" width="4.140625" style="518" customWidth="1"/>
    <col min="315" max="315" width="4.140625" style="102" customWidth="1"/>
    <col min="316" max="316" width="4.140625" style="518" customWidth="1"/>
    <col min="317" max="317" width="5.140625" style="518" customWidth="1"/>
    <col min="318" max="318" width="21.5703125" style="518" customWidth="1"/>
    <col min="319" max="319" width="11.5703125" style="518" customWidth="1"/>
    <col min="320" max="320" width="17.5703125" style="518" customWidth="1"/>
    <col min="321" max="321" width="16.7109375" style="518" bestFit="1" customWidth="1"/>
    <col min="322" max="322" width="17.5703125" style="518" bestFit="1" customWidth="1"/>
    <col min="323" max="323" width="15" style="518" customWidth="1"/>
    <col min="324" max="324" width="15" style="107" customWidth="1"/>
    <col min="325" max="325" width="15" style="518" customWidth="1"/>
    <col min="326" max="326" width="17.140625" style="107" bestFit="1" customWidth="1"/>
    <col min="327" max="327" width="15" style="107" customWidth="1"/>
    <col min="328" max="328" width="17.28515625" style="518" bestFit="1" customWidth="1"/>
    <col min="329" max="329" width="15" style="518" customWidth="1"/>
    <col min="330" max="330" width="15.85546875" style="518" bestFit="1" customWidth="1"/>
    <col min="331" max="334" width="15" style="518" customWidth="1"/>
    <col min="335" max="335" width="16.140625" style="518" bestFit="1" customWidth="1"/>
    <col min="336" max="336" width="17.140625" style="518" bestFit="1" customWidth="1"/>
    <col min="337" max="337" width="17.85546875" style="518" customWidth="1"/>
    <col min="338" max="338" width="17.5703125" style="518" bestFit="1" customWidth="1"/>
    <col min="339" max="339" width="7" style="518" customWidth="1"/>
    <col min="340" max="340" width="2.42578125" style="102" customWidth="1"/>
    <col min="341" max="342" width="6.85546875" style="518" customWidth="1"/>
    <col min="343" max="343" width="9.85546875" style="518" customWidth="1"/>
    <col min="344" max="344" width="18.85546875" style="518" customWidth="1"/>
    <col min="345" max="345" width="18.42578125" style="518" customWidth="1"/>
    <col min="346" max="346" width="18.7109375" style="518" bestFit="1" customWidth="1"/>
    <col min="347" max="347" width="17.5703125" style="518" bestFit="1" customWidth="1"/>
    <col min="348" max="348" width="17.140625" style="518" bestFit="1" customWidth="1"/>
    <col min="349" max="349" width="17.5703125" style="518" bestFit="1" customWidth="1"/>
    <col min="350" max="351" width="15.85546875" style="518" bestFit="1" customWidth="1"/>
    <col min="352" max="352" width="17.5703125" style="518" bestFit="1" customWidth="1"/>
    <col min="353" max="353" width="9.140625" style="518"/>
    <col min="354" max="354" width="2.85546875" style="102" customWidth="1"/>
    <col min="355" max="355" width="2.85546875" style="518" customWidth="1"/>
    <col min="356" max="356" width="16.5703125" style="518" customWidth="1"/>
    <col min="357" max="357" width="33.85546875" style="518" bestFit="1" customWidth="1"/>
    <col min="358" max="358" width="16.5703125" style="518" customWidth="1"/>
    <col min="359" max="359" width="2.85546875" style="518" customWidth="1"/>
    <col min="360" max="360" width="2.85546875" style="102" customWidth="1"/>
    <col min="361" max="361" width="2.85546875" style="518" customWidth="1"/>
    <col min="362" max="362" width="4.140625" style="96" customWidth="1"/>
    <col min="363" max="363" width="61.140625" style="96" customWidth="1"/>
    <col min="364" max="364" width="18.42578125" style="518" bestFit="1" customWidth="1"/>
    <col min="365" max="365" width="20.5703125" style="518" customWidth="1"/>
    <col min="366" max="366" width="17.28515625" style="518" hidden="1" customWidth="1"/>
    <col min="367" max="367" width="21.85546875" style="518" bestFit="1" customWidth="1"/>
    <col min="368" max="368" width="21.7109375" style="518" customWidth="1"/>
    <col min="369" max="369" width="4.140625" style="518" customWidth="1"/>
    <col min="370" max="370" width="2.85546875" style="102" customWidth="1"/>
    <col min="371" max="371" width="2.85546875" style="518" customWidth="1"/>
    <col min="372" max="372" width="4.7109375" style="518" bestFit="1" customWidth="1"/>
    <col min="373" max="373" width="60.7109375" style="107" bestFit="1" customWidth="1"/>
    <col min="374" max="374" width="26.140625" style="518" customWidth="1"/>
    <col min="375" max="375" width="26.85546875" style="518" bestFit="1" customWidth="1"/>
    <col min="376" max="376" width="18.42578125" style="518" bestFit="1" customWidth="1"/>
    <col min="377" max="377" width="14.28515625" style="518" customWidth="1"/>
    <col min="378" max="378" width="4.140625" style="518" customWidth="1"/>
    <col min="379" max="379" width="2.85546875" style="102" customWidth="1"/>
    <col min="380" max="380" width="2.85546875" style="518" customWidth="1"/>
    <col min="381" max="381" width="13.85546875" style="97" bestFit="1" customWidth="1"/>
    <col min="382" max="382" width="14.28515625" style="97" bestFit="1" customWidth="1"/>
    <col min="383" max="383" width="13" style="97" bestFit="1" customWidth="1"/>
    <col min="384" max="387" width="9.140625" style="97"/>
  </cols>
  <sheetData>
    <row r="1" spans="2:387" x14ac:dyDescent="0.3">
      <c r="B1" s="981" t="s">
        <v>0</v>
      </c>
      <c r="C1" s="981"/>
      <c r="D1" s="981"/>
      <c r="E1" s="981"/>
      <c r="F1" s="981"/>
      <c r="G1" s="981"/>
      <c r="H1" s="981"/>
      <c r="I1" s="981"/>
      <c r="J1" s="981"/>
      <c r="K1" s="981"/>
      <c r="L1" s="981"/>
      <c r="M1" s="981"/>
      <c r="N1" s="981"/>
      <c r="O1" s="981"/>
      <c r="P1" s="981"/>
      <c r="Q1" s="981"/>
      <c r="R1" s="981"/>
      <c r="S1" s="91"/>
      <c r="T1" s="92"/>
      <c r="U1" s="91"/>
      <c r="V1" s="91"/>
      <c r="W1" s="981" t="s">
        <v>1</v>
      </c>
      <c r="X1" s="981"/>
      <c r="Y1" s="981"/>
      <c r="Z1" s="981"/>
      <c r="AA1" s="981"/>
      <c r="AB1" s="492"/>
      <c r="AC1" s="492"/>
      <c r="AE1" s="492"/>
      <c r="AF1" s="981" t="s">
        <v>2</v>
      </c>
      <c r="AG1" s="981"/>
      <c r="AH1" s="981"/>
      <c r="AI1" s="981"/>
      <c r="AJ1" s="981"/>
      <c r="AK1" s="91"/>
      <c r="AL1" s="94"/>
      <c r="AM1" s="91"/>
      <c r="AN1" s="981" t="s">
        <v>3</v>
      </c>
      <c r="AO1" s="981"/>
      <c r="AP1" s="981"/>
      <c r="AQ1" s="981"/>
      <c r="AR1" s="981"/>
      <c r="AS1" s="981"/>
      <c r="AT1" s="981"/>
      <c r="AU1" s="981"/>
      <c r="AV1" s="981"/>
      <c r="AW1" s="981"/>
      <c r="AX1" s="981"/>
      <c r="AY1" s="981"/>
      <c r="AZ1" s="981"/>
      <c r="BA1" s="981"/>
      <c r="BB1" s="981"/>
      <c r="BC1" s="981"/>
      <c r="BD1" s="981"/>
      <c r="BE1" s="981"/>
      <c r="BF1" s="981"/>
      <c r="BG1" s="981"/>
      <c r="BH1" s="981"/>
      <c r="BI1" s="981"/>
      <c r="BJ1" s="981"/>
      <c r="BK1" s="981"/>
      <c r="BL1" s="981"/>
      <c r="BM1" s="981"/>
      <c r="BN1" s="981"/>
      <c r="BO1" s="981"/>
      <c r="BP1" s="981"/>
      <c r="BQ1" s="981"/>
      <c r="BR1" s="981"/>
      <c r="BS1" s="981"/>
      <c r="BT1" s="981"/>
      <c r="BU1" s="981"/>
      <c r="BV1" s="981"/>
      <c r="BW1" s="981"/>
      <c r="BX1" s="981"/>
      <c r="BY1" s="981"/>
      <c r="BZ1" s="981"/>
      <c r="CA1" s="981"/>
      <c r="CB1" s="981"/>
      <c r="CC1" s="981"/>
      <c r="CD1" s="981"/>
      <c r="CE1" s="981"/>
      <c r="CF1" s="981"/>
      <c r="CG1" s="981"/>
      <c r="CH1" s="91"/>
      <c r="CI1" s="92"/>
      <c r="CJ1" s="981" t="s">
        <v>4</v>
      </c>
      <c r="CK1" s="981"/>
      <c r="CL1" s="981"/>
      <c r="CM1" s="981"/>
      <c r="CN1" s="981"/>
      <c r="CO1" s="981"/>
      <c r="CP1" s="981"/>
      <c r="CQ1" s="981"/>
      <c r="CR1" s="981"/>
      <c r="CS1" s="981"/>
      <c r="CT1" s="981"/>
      <c r="CU1" s="981"/>
      <c r="CV1" s="95"/>
      <c r="CW1" s="981" t="s">
        <v>5</v>
      </c>
      <c r="CX1" s="981"/>
      <c r="CY1" s="981"/>
      <c r="CZ1" s="981"/>
      <c r="DA1" s="981"/>
      <c r="DB1" s="981"/>
      <c r="DC1" s="981"/>
      <c r="DD1" s="981"/>
      <c r="DE1" s="981"/>
      <c r="DF1" s="95"/>
      <c r="DG1" s="981" t="s">
        <v>6</v>
      </c>
      <c r="DH1" s="981"/>
      <c r="DI1" s="981"/>
      <c r="DJ1" s="981"/>
      <c r="DK1" s="981"/>
      <c r="DL1" s="981"/>
      <c r="DM1" s="981"/>
      <c r="DN1" s="981"/>
      <c r="DO1" s="94"/>
      <c r="DP1" s="981" t="s">
        <v>7</v>
      </c>
      <c r="DQ1" s="981"/>
      <c r="DR1" s="981"/>
      <c r="DS1" s="981"/>
      <c r="DT1" s="981"/>
      <c r="DU1" s="981"/>
      <c r="DV1" s="981"/>
      <c r="DW1" s="981"/>
      <c r="DX1" s="981"/>
      <c r="DY1" s="981"/>
      <c r="DZ1" s="981"/>
      <c r="EA1" s="981"/>
      <c r="EB1" s="95"/>
      <c r="ED1" s="969" t="s">
        <v>8</v>
      </c>
      <c r="EE1" s="969"/>
      <c r="EF1" s="969"/>
      <c r="EG1" s="969"/>
      <c r="EH1" s="969"/>
      <c r="EI1" s="969"/>
      <c r="EJ1" s="969"/>
      <c r="EK1" s="969"/>
      <c r="EL1" s="969"/>
      <c r="EM1" s="969"/>
      <c r="EN1" s="91"/>
      <c r="EO1" s="95"/>
      <c r="EP1" s="91"/>
      <c r="EQ1" s="969" t="s">
        <v>9</v>
      </c>
      <c r="ER1" s="969"/>
      <c r="ES1" s="969"/>
      <c r="ET1" s="969"/>
      <c r="EU1" s="969"/>
      <c r="EV1" s="969"/>
      <c r="EW1" s="969"/>
      <c r="EX1" s="969"/>
      <c r="EY1" s="969"/>
      <c r="EZ1" s="969"/>
      <c r="FA1" s="969"/>
      <c r="FB1" s="969"/>
      <c r="FC1" s="969"/>
      <c r="FD1" s="91"/>
      <c r="FE1" s="95"/>
      <c r="FF1" s="91"/>
      <c r="FG1" s="969" t="s">
        <v>10</v>
      </c>
      <c r="FH1" s="969"/>
      <c r="FI1" s="969"/>
      <c r="FJ1" s="969"/>
      <c r="FK1" s="969"/>
      <c r="FL1" s="969"/>
      <c r="FM1" s="969"/>
      <c r="FN1" s="969"/>
      <c r="FO1" s="969"/>
      <c r="FP1" s="969"/>
      <c r="FQ1" s="969"/>
      <c r="FR1" s="969"/>
      <c r="FS1" s="91"/>
      <c r="FT1" s="95"/>
      <c r="FU1" s="969" t="s">
        <v>11</v>
      </c>
      <c r="FV1" s="969"/>
      <c r="FW1" s="969"/>
      <c r="FX1" s="969"/>
      <c r="FY1" s="969"/>
      <c r="FZ1" s="969"/>
      <c r="GA1" s="969"/>
      <c r="GB1" s="969"/>
      <c r="GC1" s="969"/>
      <c r="GD1" s="969"/>
      <c r="GE1" s="969"/>
      <c r="GF1" s="969"/>
      <c r="GG1" s="92"/>
      <c r="GH1" s="969" t="s">
        <v>12</v>
      </c>
      <c r="GI1" s="969"/>
      <c r="GJ1" s="969"/>
      <c r="GK1" s="969"/>
      <c r="GL1" s="969"/>
      <c r="GM1" s="969"/>
      <c r="GN1" s="969"/>
      <c r="GO1" s="969"/>
      <c r="GP1" s="969"/>
      <c r="GQ1" s="969"/>
      <c r="GR1" s="969"/>
      <c r="GS1" s="969"/>
      <c r="GT1" s="92"/>
      <c r="GU1" s="969" t="s">
        <v>13</v>
      </c>
      <c r="GV1" s="969"/>
      <c r="GW1" s="969"/>
      <c r="GX1" s="969"/>
      <c r="GY1" s="969"/>
      <c r="GZ1" s="969"/>
      <c r="HA1" s="969"/>
      <c r="HB1" s="969"/>
      <c r="HC1" s="969"/>
      <c r="HD1" s="969"/>
      <c r="HE1" s="969"/>
      <c r="HF1" s="969"/>
      <c r="HG1" s="92"/>
      <c r="HH1" s="969" t="s">
        <v>14</v>
      </c>
      <c r="HI1" s="969"/>
      <c r="HJ1" s="969"/>
      <c r="HK1" s="969"/>
      <c r="HL1" s="969"/>
      <c r="HM1" s="969"/>
      <c r="HN1" s="969"/>
      <c r="HO1" s="969"/>
      <c r="HP1" s="969"/>
      <c r="HQ1" s="969"/>
      <c r="HR1" s="969"/>
      <c r="HS1" s="969"/>
      <c r="HT1" s="95"/>
      <c r="HV1" s="993" t="s">
        <v>15</v>
      </c>
      <c r="HW1" s="993"/>
      <c r="HX1" s="993"/>
      <c r="HY1" s="993"/>
      <c r="HZ1" s="993"/>
      <c r="IA1" s="993"/>
      <c r="IB1" s="993"/>
      <c r="IC1" s="993"/>
      <c r="ID1" s="993"/>
      <c r="IE1" s="993"/>
      <c r="IF1" s="993"/>
      <c r="IG1" s="993"/>
      <c r="II1" s="92"/>
      <c r="IJ1" s="91"/>
      <c r="IK1" s="985" t="s">
        <v>16</v>
      </c>
      <c r="IL1" s="985"/>
      <c r="IM1" s="985"/>
      <c r="IN1" s="985"/>
      <c r="IO1" s="985"/>
      <c r="IP1" s="985"/>
      <c r="IQ1" s="985"/>
      <c r="IR1" s="985"/>
      <c r="IS1" s="985"/>
      <c r="IT1" s="985"/>
      <c r="IU1" s="985"/>
      <c r="IV1" s="985"/>
      <c r="IW1" s="985"/>
      <c r="IX1" s="91"/>
      <c r="IY1" s="92"/>
      <c r="IZ1" s="91"/>
      <c r="JA1" s="969" t="s">
        <v>17</v>
      </c>
      <c r="JB1" s="969"/>
      <c r="JC1" s="969"/>
      <c r="JD1" s="969"/>
      <c r="JE1" s="969"/>
      <c r="JF1" s="969"/>
      <c r="JG1" s="969"/>
      <c r="JH1" s="969"/>
      <c r="JI1" s="969"/>
      <c r="JJ1" s="969"/>
      <c r="JK1" s="969"/>
      <c r="JL1" s="969"/>
      <c r="JM1" s="969"/>
      <c r="JN1" s="969"/>
      <c r="JO1" s="969"/>
      <c r="JP1" s="969"/>
      <c r="JQ1" s="969"/>
      <c r="JR1" s="969"/>
      <c r="JS1" s="969"/>
      <c r="JT1" s="969"/>
      <c r="JU1" s="969"/>
      <c r="JV1" s="969"/>
      <c r="JW1" s="969"/>
      <c r="JX1" s="93"/>
      <c r="JY1" s="95"/>
      <c r="JZ1" s="91"/>
      <c r="KA1" s="985" t="s">
        <v>18</v>
      </c>
      <c r="KB1" s="985"/>
      <c r="KC1" s="985"/>
      <c r="KD1" s="985"/>
      <c r="KE1" s="985"/>
      <c r="KF1" s="985"/>
      <c r="KG1" s="985"/>
      <c r="KH1" s="985"/>
      <c r="KI1" s="985"/>
      <c r="KJ1" s="985"/>
      <c r="KK1" s="702"/>
      <c r="KL1" s="703"/>
      <c r="KM1" s="702"/>
      <c r="KN1" s="985" t="s">
        <v>19</v>
      </c>
      <c r="KO1" s="985"/>
      <c r="KP1" s="985"/>
      <c r="KQ1" s="985"/>
      <c r="KR1" s="985"/>
      <c r="KS1" s="985"/>
      <c r="KT1" s="985"/>
      <c r="KU1" s="985"/>
      <c r="KV1" s="985"/>
      <c r="KW1" s="985"/>
      <c r="KX1" s="985"/>
      <c r="KY1" s="985"/>
      <c r="KZ1" s="985"/>
      <c r="LA1" s="985"/>
      <c r="LB1" s="474"/>
      <c r="LC1" s="703"/>
      <c r="LD1" s="474"/>
      <c r="LE1" s="985" t="s">
        <v>20</v>
      </c>
      <c r="LF1" s="985"/>
      <c r="LG1" s="985"/>
      <c r="LH1" s="985"/>
      <c r="LI1" s="985"/>
      <c r="LJ1" s="985"/>
      <c r="LK1" s="985"/>
      <c r="LL1" s="985"/>
      <c r="LM1" s="985"/>
      <c r="LN1" s="985"/>
      <c r="LO1" s="985"/>
      <c r="LP1" s="985"/>
      <c r="LQ1" s="985"/>
      <c r="LR1" s="985"/>
      <c r="LS1" s="985"/>
      <c r="LT1" s="985"/>
      <c r="LU1" s="985"/>
      <c r="LV1" s="985"/>
      <c r="LW1" s="985"/>
      <c r="LX1" s="985"/>
      <c r="LY1" s="985"/>
      <c r="LZ1" s="985"/>
      <c r="MA1" s="895"/>
      <c r="MB1" s="704"/>
      <c r="MC1" s="702"/>
      <c r="MD1" s="985" t="s">
        <v>21</v>
      </c>
      <c r="ME1" s="985"/>
      <c r="MF1" s="985"/>
      <c r="MG1" s="985"/>
      <c r="MH1" s="985"/>
      <c r="MI1" s="985"/>
      <c r="MJ1" s="985"/>
      <c r="MK1" s="985"/>
      <c r="ML1" s="985"/>
      <c r="MM1" s="985"/>
      <c r="MN1" s="985"/>
      <c r="MO1" s="492"/>
      <c r="MP1" s="705"/>
      <c r="MQ1" s="492"/>
      <c r="MR1" s="985" t="s">
        <v>22</v>
      </c>
      <c r="MS1" s="985"/>
      <c r="MT1" s="985"/>
      <c r="MU1" s="492"/>
      <c r="MV1" s="705"/>
      <c r="MW1" s="492"/>
      <c r="MX1" s="987" t="s">
        <v>23</v>
      </c>
      <c r="MY1" s="987"/>
      <c r="MZ1" s="987"/>
      <c r="NA1" s="987"/>
      <c r="NB1" s="987"/>
      <c r="NC1" s="987"/>
      <c r="ND1" s="987"/>
      <c r="NE1" s="492"/>
      <c r="NF1" s="705"/>
      <c r="NG1" s="492"/>
      <c r="NH1" s="984" t="s">
        <v>24</v>
      </c>
      <c r="NI1" s="984"/>
      <c r="NJ1" s="984"/>
      <c r="NK1" s="984"/>
      <c r="NL1" s="984"/>
      <c r="NM1" s="984"/>
      <c r="NN1" s="492"/>
      <c r="NO1" s="705"/>
      <c r="NP1" s="492"/>
    </row>
    <row r="2" spans="2:387" x14ac:dyDescent="0.3">
      <c r="B2" s="99"/>
      <c r="C2" s="100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01"/>
      <c r="AK2" s="101"/>
      <c r="AM2" s="93"/>
      <c r="AO2" s="93"/>
      <c r="AP2" s="93"/>
      <c r="AQ2" s="93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1"/>
      <c r="EN2" s="105"/>
      <c r="EO2" s="106"/>
      <c r="FD2" s="105"/>
      <c r="FE2" s="106"/>
      <c r="FS2" s="93"/>
      <c r="GF2" s="93"/>
      <c r="GG2" s="95"/>
      <c r="GS2" s="93"/>
      <c r="GT2" s="95"/>
      <c r="HF2" s="93"/>
      <c r="HG2" s="95"/>
      <c r="HV2" s="993"/>
      <c r="HW2" s="993"/>
      <c r="HX2" s="993"/>
      <c r="HY2" s="993"/>
      <c r="HZ2" s="993"/>
      <c r="IA2" s="993"/>
      <c r="IB2" s="993"/>
      <c r="IC2" s="993"/>
      <c r="ID2" s="993"/>
      <c r="IE2" s="993"/>
      <c r="IF2" s="993"/>
      <c r="IG2" s="993"/>
      <c r="IH2" s="93"/>
      <c r="IK2" s="985"/>
      <c r="IL2" s="985"/>
      <c r="IM2" s="985"/>
      <c r="IN2" s="985"/>
      <c r="IO2" s="985"/>
      <c r="IP2" s="985"/>
      <c r="IQ2" s="985"/>
      <c r="IR2" s="985"/>
      <c r="IS2" s="985"/>
      <c r="IT2" s="985"/>
      <c r="IU2" s="985"/>
      <c r="IV2" s="985"/>
      <c r="IW2" s="985"/>
      <c r="JZ2" s="108"/>
      <c r="KA2" s="986"/>
      <c r="KB2" s="986"/>
      <c r="KC2" s="986"/>
      <c r="KD2" s="986"/>
      <c r="KE2" s="986"/>
      <c r="KF2" s="986"/>
      <c r="KG2" s="986"/>
      <c r="KH2" s="986"/>
      <c r="KI2" s="986"/>
      <c r="KJ2" s="986"/>
      <c r="KK2" s="702"/>
      <c r="KL2" s="706"/>
      <c r="KM2" s="702"/>
      <c r="KN2" s="985"/>
      <c r="KO2" s="985"/>
      <c r="KP2" s="985"/>
      <c r="KQ2" s="985"/>
      <c r="KR2" s="985"/>
      <c r="KS2" s="985"/>
      <c r="KT2" s="985"/>
      <c r="KU2" s="985"/>
      <c r="KV2" s="985"/>
      <c r="KW2" s="985"/>
      <c r="KX2" s="985"/>
      <c r="KY2" s="985"/>
      <c r="KZ2" s="985"/>
      <c r="LA2" s="985"/>
      <c r="LB2" s="707"/>
      <c r="LC2" s="708"/>
      <c r="LD2" s="707"/>
      <c r="LE2" s="985"/>
      <c r="LF2" s="985"/>
      <c r="LG2" s="985"/>
      <c r="LH2" s="985"/>
      <c r="LI2" s="985"/>
      <c r="LJ2" s="985"/>
      <c r="LK2" s="985"/>
      <c r="LL2" s="985"/>
      <c r="LM2" s="985"/>
      <c r="LN2" s="985"/>
      <c r="LO2" s="985"/>
      <c r="LP2" s="985"/>
      <c r="LQ2" s="985"/>
      <c r="LR2" s="985"/>
      <c r="LS2" s="985"/>
      <c r="LT2" s="985"/>
      <c r="LU2" s="985"/>
      <c r="LV2" s="985"/>
      <c r="LW2" s="985"/>
      <c r="LX2" s="985"/>
      <c r="LY2" s="985"/>
      <c r="LZ2" s="985"/>
      <c r="MA2" s="709"/>
      <c r="MB2" s="710"/>
      <c r="MC2" s="702"/>
      <c r="MD2" s="985"/>
      <c r="ME2" s="985"/>
      <c r="MF2" s="985"/>
      <c r="MG2" s="985"/>
      <c r="MH2" s="985"/>
      <c r="MI2" s="985"/>
      <c r="MJ2" s="985"/>
      <c r="MK2" s="985"/>
      <c r="ML2" s="985"/>
      <c r="MM2" s="985"/>
      <c r="MN2" s="985"/>
      <c r="MO2" s="702"/>
      <c r="MP2" s="703"/>
      <c r="MQ2" s="474"/>
      <c r="MR2" s="985"/>
      <c r="MS2" s="985"/>
      <c r="MT2" s="985"/>
      <c r="MU2" s="474"/>
      <c r="MV2" s="703"/>
      <c r="MW2" s="474"/>
      <c r="MX2" s="987"/>
      <c r="MY2" s="987"/>
      <c r="MZ2" s="987"/>
      <c r="NA2" s="987"/>
      <c r="NB2" s="987"/>
      <c r="NC2" s="987"/>
      <c r="ND2" s="987"/>
      <c r="NE2" s="702"/>
      <c r="NF2" s="703"/>
      <c r="NG2" s="474"/>
      <c r="NH2" s="984"/>
      <c r="NI2" s="984"/>
      <c r="NJ2" s="984"/>
      <c r="NK2" s="984"/>
      <c r="NL2" s="984"/>
      <c r="NM2" s="984"/>
      <c r="NN2" s="702"/>
      <c r="NO2" s="703"/>
      <c r="NP2" s="474"/>
    </row>
    <row r="3" spans="2:387" ht="16.5" customHeight="1" x14ac:dyDescent="0.3">
      <c r="B3" s="89"/>
      <c r="C3" s="89"/>
      <c r="D3" s="89"/>
      <c r="E3" s="89"/>
      <c r="F3" s="988" t="s">
        <v>25</v>
      </c>
      <c r="G3" s="989"/>
      <c r="H3" s="988" t="s">
        <v>26</v>
      </c>
      <c r="I3" s="990"/>
      <c r="J3" s="989"/>
      <c r="K3" s="988" t="s">
        <v>27</v>
      </c>
      <c r="L3" s="990"/>
      <c r="M3" s="989"/>
      <c r="N3" s="988" t="s">
        <v>28</v>
      </c>
      <c r="O3" s="990"/>
      <c r="P3" s="989"/>
      <c r="Q3" s="988" t="s">
        <v>29</v>
      </c>
      <c r="R3" s="990"/>
      <c r="S3" s="111"/>
      <c r="T3" s="112"/>
      <c r="U3" s="113"/>
      <c r="V3" s="114"/>
      <c r="W3" s="114"/>
      <c r="X3" s="114"/>
      <c r="Y3" s="114"/>
      <c r="Z3" s="114"/>
      <c r="AA3" s="114"/>
      <c r="AD3" s="112"/>
      <c r="AF3" s="114"/>
      <c r="AG3" s="114"/>
      <c r="AH3" s="114"/>
      <c r="AI3" s="114"/>
      <c r="AJ3" s="114"/>
      <c r="AK3" s="115"/>
      <c r="AN3" s="116"/>
      <c r="AO3" s="117"/>
      <c r="AP3" s="118"/>
      <c r="AQ3" s="117"/>
      <c r="AR3" s="119"/>
      <c r="AS3" s="991" t="s">
        <v>30</v>
      </c>
      <c r="AT3" s="992"/>
      <c r="AU3" s="117"/>
      <c r="AV3" s="991" t="s">
        <v>31</v>
      </c>
      <c r="AW3" s="992"/>
      <c r="AX3" s="992"/>
      <c r="AY3" s="117"/>
      <c r="AZ3" s="991" t="s">
        <v>32</v>
      </c>
      <c r="BA3" s="992"/>
      <c r="BB3" s="992"/>
      <c r="BC3" s="117"/>
      <c r="BD3" s="991" t="s">
        <v>33</v>
      </c>
      <c r="BE3" s="992"/>
      <c r="BF3" s="992"/>
      <c r="BG3" s="117"/>
      <c r="BH3" s="991" t="s">
        <v>34</v>
      </c>
      <c r="BI3" s="992"/>
      <c r="BJ3" s="992"/>
      <c r="BK3" s="117"/>
      <c r="BL3" s="991" t="s">
        <v>35</v>
      </c>
      <c r="BM3" s="992"/>
      <c r="BN3" s="992"/>
      <c r="BO3" s="117"/>
      <c r="BP3" s="991" t="s">
        <v>36</v>
      </c>
      <c r="BQ3" s="992"/>
      <c r="BR3" s="992"/>
      <c r="BS3" s="117"/>
      <c r="BT3" s="991" t="s">
        <v>37</v>
      </c>
      <c r="BU3" s="992"/>
      <c r="BV3" s="992"/>
      <c r="BW3" s="992" t="s">
        <v>38</v>
      </c>
      <c r="BX3" s="992"/>
      <c r="BY3" s="994"/>
      <c r="BZ3" s="991" t="s">
        <v>39</v>
      </c>
      <c r="CA3" s="992"/>
      <c r="CB3" s="994"/>
      <c r="CC3" s="991" t="s">
        <v>25</v>
      </c>
      <c r="CD3" s="992"/>
      <c r="CE3" s="994"/>
      <c r="CF3" s="966" t="s">
        <v>40</v>
      </c>
      <c r="CG3" s="968"/>
      <c r="CK3" s="120"/>
      <c r="CL3" s="121"/>
      <c r="CM3" s="973" t="str">
        <f>F3</f>
        <v>2022 Fiscal Year As Accepted</v>
      </c>
      <c r="CN3" s="974"/>
      <c r="CO3" s="974"/>
      <c r="CP3" s="975"/>
      <c r="CQ3" s="973" t="str">
        <f>H3</f>
        <v>2022 Fiscal Year As Adjusted</v>
      </c>
      <c r="CR3" s="974"/>
      <c r="CS3" s="974"/>
      <c r="CT3" s="975"/>
      <c r="CU3" s="101"/>
      <c r="CX3" s="117"/>
      <c r="CY3" s="122"/>
      <c r="CZ3" s="973" t="str">
        <f>CM3</f>
        <v>2022 Fiscal Year As Accepted</v>
      </c>
      <c r="DA3" s="975"/>
      <c r="DB3" s="973" t="str">
        <f>CQ3</f>
        <v>2022 Fiscal Year As Adjusted</v>
      </c>
      <c r="DC3" s="974"/>
      <c r="DD3" s="975"/>
      <c r="DH3" s="123"/>
      <c r="DI3" s="124"/>
      <c r="DJ3" s="973" t="str">
        <f>CZ3</f>
        <v>2022 Fiscal Year As Accepted</v>
      </c>
      <c r="DK3" s="975"/>
      <c r="DL3" s="973" t="str">
        <f>DB3</f>
        <v>2022 Fiscal Year As Adjusted</v>
      </c>
      <c r="DM3" s="975"/>
      <c r="DQ3" s="117"/>
      <c r="DR3" s="125"/>
      <c r="DS3" s="992" t="str">
        <f>CZ3</f>
        <v>2022 Fiscal Year As Accepted</v>
      </c>
      <c r="DT3" s="992"/>
      <c r="DU3" s="992"/>
      <c r="DV3" s="994"/>
      <c r="DW3" s="991" t="str">
        <f>DB3</f>
        <v>2022 Fiscal Year As Adjusted</v>
      </c>
      <c r="DX3" s="992"/>
      <c r="DY3" s="992"/>
      <c r="DZ3" s="994"/>
      <c r="EB3" s="126"/>
      <c r="ED3" s="117"/>
      <c r="EE3" s="117"/>
      <c r="EF3" s="991" t="str">
        <f>DS3</f>
        <v>2022 Fiscal Year As Accepted</v>
      </c>
      <c r="EG3" s="992"/>
      <c r="EH3" s="992"/>
      <c r="EI3" s="994"/>
      <c r="EJ3" s="991" t="str">
        <f>DW3</f>
        <v>2022 Fiscal Year As Adjusted</v>
      </c>
      <c r="EK3" s="992"/>
      <c r="EL3" s="992"/>
      <c r="EM3" s="994"/>
      <c r="EN3" s="101"/>
      <c r="EO3" s="127"/>
      <c r="EQ3" s="117"/>
      <c r="ER3" s="119"/>
      <c r="ES3" s="991" t="str">
        <f>EF3</f>
        <v>2022 Fiscal Year As Accepted</v>
      </c>
      <c r="ET3" s="992"/>
      <c r="EU3" s="992"/>
      <c r="EV3" s="994"/>
      <c r="EW3" s="991" t="str">
        <f>EJ3</f>
        <v>2022 Fiscal Year As Adjusted</v>
      </c>
      <c r="EX3" s="992"/>
      <c r="EY3" s="992"/>
      <c r="EZ3" s="994"/>
      <c r="FA3" s="991" t="s">
        <v>41</v>
      </c>
      <c r="FB3" s="992"/>
      <c r="FC3" s="994"/>
      <c r="FD3" s="101"/>
      <c r="FE3" s="127"/>
      <c r="FG3" s="117"/>
      <c r="FH3" s="117"/>
      <c r="FI3" s="117"/>
      <c r="FJ3" s="995" t="str">
        <f>EF3</f>
        <v>2022 Fiscal Year As Accepted</v>
      </c>
      <c r="FK3" s="996"/>
      <c r="FL3" s="996"/>
      <c r="FM3" s="997"/>
      <c r="FN3" s="995" t="str">
        <f>EJ3</f>
        <v>2022 Fiscal Year As Adjusted</v>
      </c>
      <c r="FO3" s="996"/>
      <c r="FP3" s="996"/>
      <c r="FQ3" s="996"/>
      <c r="FR3" s="997"/>
      <c r="FS3" s="93"/>
      <c r="FT3" s="95"/>
      <c r="FV3" s="116"/>
      <c r="FW3" s="117"/>
      <c r="FX3" s="973" t="str">
        <f>FJ3</f>
        <v>2022 Fiscal Year As Accepted</v>
      </c>
      <c r="FY3" s="974"/>
      <c r="FZ3" s="974"/>
      <c r="GA3" s="975"/>
      <c r="GB3" s="973" t="str">
        <f>FN3</f>
        <v>2022 Fiscal Year As Adjusted</v>
      </c>
      <c r="GC3" s="974"/>
      <c r="GD3" s="974"/>
      <c r="GE3" s="975"/>
      <c r="GF3" s="101"/>
      <c r="GG3" s="128"/>
      <c r="GI3" s="116"/>
      <c r="GJ3" s="117"/>
      <c r="GK3" s="973" t="str">
        <f>FX3</f>
        <v>2022 Fiscal Year As Accepted</v>
      </c>
      <c r="GL3" s="974"/>
      <c r="GM3" s="974"/>
      <c r="GN3" s="975"/>
      <c r="GO3" s="973" t="str">
        <f>GB3</f>
        <v>2022 Fiscal Year As Adjusted</v>
      </c>
      <c r="GP3" s="974"/>
      <c r="GQ3" s="974"/>
      <c r="GR3" s="974"/>
      <c r="GS3" s="101"/>
      <c r="GT3" s="128"/>
      <c r="GV3" s="116"/>
      <c r="GW3" s="117"/>
      <c r="GX3" s="995" t="str">
        <f>FJ3</f>
        <v>2022 Fiscal Year As Accepted</v>
      </c>
      <c r="GY3" s="996"/>
      <c r="GZ3" s="996"/>
      <c r="HA3" s="997"/>
      <c r="HB3" s="973" t="str">
        <f>FN3</f>
        <v>2022 Fiscal Year As Adjusted</v>
      </c>
      <c r="HC3" s="974"/>
      <c r="HD3" s="974"/>
      <c r="HE3" s="975"/>
      <c r="HF3" s="101"/>
      <c r="HG3" s="128"/>
      <c r="HI3" s="117"/>
      <c r="HJ3" s="117"/>
      <c r="HK3" s="970" t="str">
        <f>GX3</f>
        <v>2022 Fiscal Year As Accepted</v>
      </c>
      <c r="HL3" s="971"/>
      <c r="HM3" s="971"/>
      <c r="HN3" s="972"/>
      <c r="HO3" s="970" t="str">
        <f>HB3</f>
        <v>2022 Fiscal Year As Adjusted</v>
      </c>
      <c r="HP3" s="971"/>
      <c r="HQ3" s="971"/>
      <c r="HR3" s="972"/>
      <c r="HV3" s="101"/>
      <c r="HW3" s="129"/>
      <c r="HX3" s="130"/>
      <c r="HY3" s="130"/>
      <c r="HZ3" s="130"/>
      <c r="IA3" s="130"/>
      <c r="IB3" s="130"/>
      <c r="IC3" s="131"/>
      <c r="ID3" s="130"/>
      <c r="IE3" s="130"/>
      <c r="IF3" s="130"/>
      <c r="IG3" s="130"/>
      <c r="IH3" s="132"/>
      <c r="IJ3" s="132"/>
      <c r="IK3" s="897"/>
      <c r="IL3" s="133"/>
      <c r="IM3" s="133"/>
      <c r="IN3" s="966" t="s">
        <v>42</v>
      </c>
      <c r="IO3" s="967"/>
      <c r="IP3" s="966" t="s">
        <v>43</v>
      </c>
      <c r="IQ3" s="967"/>
      <c r="IR3" s="966" t="s">
        <v>44</v>
      </c>
      <c r="IS3" s="967"/>
      <c r="IT3" s="966" t="s">
        <v>45</v>
      </c>
      <c r="IU3" s="967"/>
      <c r="IV3" s="966" t="s">
        <v>46</v>
      </c>
      <c r="IW3" s="968"/>
      <c r="IX3" s="109"/>
      <c r="IY3" s="110"/>
      <c r="IZ3" s="109"/>
      <c r="JA3" s="117"/>
      <c r="JB3" s="134"/>
      <c r="JC3" s="134"/>
      <c r="JD3" s="134"/>
      <c r="JE3" s="978" t="s">
        <v>47</v>
      </c>
      <c r="JF3" s="979"/>
      <c r="JG3" s="978" t="s">
        <v>48</v>
      </c>
      <c r="JH3" s="979"/>
      <c r="JI3" s="978" t="s">
        <v>49</v>
      </c>
      <c r="JJ3" s="979"/>
      <c r="JK3" s="978" t="s">
        <v>50</v>
      </c>
      <c r="JL3" s="979"/>
      <c r="JM3" s="978" t="s">
        <v>51</v>
      </c>
      <c r="JN3" s="979"/>
      <c r="JO3" s="978" t="s">
        <v>52</v>
      </c>
      <c r="JP3" s="979"/>
      <c r="JQ3" s="978" t="s">
        <v>53</v>
      </c>
      <c r="JR3" s="979"/>
      <c r="JS3" s="978" t="s">
        <v>54</v>
      </c>
      <c r="JT3" s="979"/>
      <c r="JU3" s="978" t="s">
        <v>55</v>
      </c>
      <c r="JV3" s="980"/>
      <c r="JW3" s="980"/>
      <c r="JX3" s="132"/>
      <c r="JY3" s="135"/>
      <c r="JZ3" s="108"/>
      <c r="KA3" s="136"/>
      <c r="KB3" s="137"/>
      <c r="KC3" s="137"/>
      <c r="KD3" s="137"/>
      <c r="KE3" s="137"/>
      <c r="KF3" s="137"/>
      <c r="KG3" s="137"/>
      <c r="KH3" s="137"/>
      <c r="KI3" s="137"/>
      <c r="KJ3" s="137"/>
      <c r="KK3" s="109"/>
      <c r="KL3" s="110"/>
      <c r="KM3" s="138"/>
      <c r="KN3" s="139"/>
      <c r="KO3" s="133"/>
      <c r="KP3" s="133"/>
      <c r="KQ3" s="140"/>
      <c r="KR3" s="966" t="s">
        <v>42</v>
      </c>
      <c r="KS3" s="967"/>
      <c r="KT3" s="966" t="s">
        <v>43</v>
      </c>
      <c r="KU3" s="967"/>
      <c r="KV3" s="966" t="s">
        <v>56</v>
      </c>
      <c r="KW3" s="967"/>
      <c r="KX3" s="966" t="s">
        <v>57</v>
      </c>
      <c r="KY3" s="967"/>
      <c r="KZ3" s="966" t="s">
        <v>46</v>
      </c>
      <c r="LA3" s="968"/>
      <c r="LB3" s="138"/>
      <c r="LC3" s="141"/>
      <c r="LD3" s="138"/>
      <c r="LE3" s="142"/>
      <c r="LF3" s="133"/>
      <c r="LG3" s="133"/>
      <c r="LH3" s="133"/>
      <c r="LI3" s="966" t="s">
        <v>47</v>
      </c>
      <c r="LJ3" s="967"/>
      <c r="LK3" s="966" t="s">
        <v>58</v>
      </c>
      <c r="LL3" s="967"/>
      <c r="LM3" s="966" t="s">
        <v>49</v>
      </c>
      <c r="LN3" s="967"/>
      <c r="LO3" s="966" t="s">
        <v>50</v>
      </c>
      <c r="LP3" s="967"/>
      <c r="LQ3" s="966" t="s">
        <v>51</v>
      </c>
      <c r="LR3" s="967"/>
      <c r="LS3" s="966" t="s">
        <v>52</v>
      </c>
      <c r="LT3" s="967"/>
      <c r="LU3" s="966" t="s">
        <v>53</v>
      </c>
      <c r="LV3" s="967"/>
      <c r="LW3" s="966" t="s">
        <v>54</v>
      </c>
      <c r="LX3" s="967"/>
      <c r="LY3" s="966" t="s">
        <v>59</v>
      </c>
      <c r="LZ3" s="968"/>
      <c r="MA3" s="108"/>
      <c r="MB3" s="143"/>
      <c r="MD3" s="117"/>
      <c r="ME3" s="896"/>
      <c r="MF3" s="966" t="s">
        <v>46</v>
      </c>
      <c r="MG3" s="968"/>
      <c r="MH3" s="967"/>
      <c r="MI3" s="966" t="s">
        <v>60</v>
      </c>
      <c r="MJ3" s="968"/>
      <c r="MK3" s="967"/>
      <c r="ML3" s="966" t="s">
        <v>61</v>
      </c>
      <c r="MM3" s="968"/>
      <c r="MN3" s="967"/>
      <c r="MP3" s="95"/>
      <c r="MQ3" s="93"/>
      <c r="MR3" s="144"/>
      <c r="MS3" s="144"/>
      <c r="MT3" s="144"/>
      <c r="MU3" s="93"/>
      <c r="MV3" s="95"/>
      <c r="MW3" s="93"/>
      <c r="MX3" s="145"/>
      <c r="MY3" s="145"/>
      <c r="MZ3" s="114"/>
      <c r="NA3" s="114"/>
      <c r="NB3" s="114"/>
      <c r="NC3" s="114"/>
      <c r="ND3" s="114"/>
      <c r="NF3" s="95"/>
      <c r="NG3" s="93"/>
      <c r="NH3" s="145"/>
      <c r="NI3" s="114"/>
      <c r="NJ3" s="114"/>
      <c r="NK3" s="114"/>
      <c r="NL3" s="114"/>
      <c r="NM3" s="114"/>
      <c r="NO3" s="95"/>
      <c r="NP3" s="93"/>
    </row>
    <row r="4" spans="2:387" ht="49.5" customHeight="1" x14ac:dyDescent="0.3">
      <c r="B4" s="147"/>
      <c r="C4" s="148"/>
      <c r="D4" s="148"/>
      <c r="E4" s="148"/>
      <c r="F4" s="90" t="s">
        <v>62</v>
      </c>
      <c r="G4" s="149" t="s">
        <v>63</v>
      </c>
      <c r="H4" s="90" t="s">
        <v>62</v>
      </c>
      <c r="I4" s="150" t="s">
        <v>63</v>
      </c>
      <c r="J4" s="149" t="s">
        <v>64</v>
      </c>
      <c r="K4" s="90" t="s">
        <v>62</v>
      </c>
      <c r="L4" s="150" t="s">
        <v>63</v>
      </c>
      <c r="M4" s="149" t="s">
        <v>65</v>
      </c>
      <c r="N4" s="90" t="s">
        <v>62</v>
      </c>
      <c r="O4" s="150" t="s">
        <v>63</v>
      </c>
      <c r="P4" s="149" t="s">
        <v>66</v>
      </c>
      <c r="Q4" s="151" t="s">
        <v>67</v>
      </c>
      <c r="R4" s="150" t="s">
        <v>68</v>
      </c>
      <c r="S4" s="132"/>
      <c r="T4" s="152"/>
      <c r="U4" s="153"/>
      <c r="V4" s="154"/>
      <c r="W4" s="154"/>
      <c r="X4" s="155" t="s">
        <v>69</v>
      </c>
      <c r="Y4" s="155" t="s">
        <v>70</v>
      </c>
      <c r="Z4" s="155" t="s">
        <v>71</v>
      </c>
      <c r="AA4" s="155" t="s">
        <v>72</v>
      </c>
      <c r="AB4" s="156"/>
      <c r="AC4" s="146"/>
      <c r="AD4" s="152"/>
      <c r="AE4" s="146"/>
      <c r="AF4" s="148"/>
      <c r="AG4" s="148"/>
      <c r="AH4" s="147" t="str">
        <f>D14</f>
        <v>Direct Labour</v>
      </c>
      <c r="AI4" s="147" t="str">
        <f>D15</f>
        <v>Collector Labour</v>
      </c>
      <c r="AJ4" s="147" t="str">
        <f>D16</f>
        <v>Overhead Labour</v>
      </c>
      <c r="AK4" s="153"/>
      <c r="AL4" s="152"/>
      <c r="AM4" s="146"/>
      <c r="AN4" s="155"/>
      <c r="AO4" s="158"/>
      <c r="AP4" s="158"/>
      <c r="AQ4" s="158"/>
      <c r="AR4" s="158"/>
      <c r="AS4" s="159" t="s">
        <v>62</v>
      </c>
      <c r="AT4" s="160" t="s">
        <v>73</v>
      </c>
      <c r="AU4" s="155"/>
      <c r="AV4" s="159" t="s">
        <v>62</v>
      </c>
      <c r="AW4" s="160" t="s">
        <v>73</v>
      </c>
      <c r="AX4" s="160" t="s">
        <v>74</v>
      </c>
      <c r="AY4" s="155"/>
      <c r="AZ4" s="159" t="s">
        <v>62</v>
      </c>
      <c r="BA4" s="160" t="s">
        <v>73</v>
      </c>
      <c r="BB4" s="160" t="s">
        <v>74</v>
      </c>
      <c r="BC4" s="155"/>
      <c r="BD4" s="159" t="s">
        <v>62</v>
      </c>
      <c r="BE4" s="160" t="s">
        <v>73</v>
      </c>
      <c r="BF4" s="160" t="s">
        <v>74</v>
      </c>
      <c r="BG4" s="155"/>
      <c r="BH4" s="159" t="s">
        <v>62</v>
      </c>
      <c r="BI4" s="160" t="s">
        <v>73</v>
      </c>
      <c r="BJ4" s="160" t="s">
        <v>74</v>
      </c>
      <c r="BK4" s="155"/>
      <c r="BL4" s="159" t="s">
        <v>62</v>
      </c>
      <c r="BM4" s="160" t="s">
        <v>73</v>
      </c>
      <c r="BN4" s="160" t="s">
        <v>74</v>
      </c>
      <c r="BO4" s="155"/>
      <c r="BP4" s="159" t="s">
        <v>62</v>
      </c>
      <c r="BQ4" s="160" t="s">
        <v>73</v>
      </c>
      <c r="BR4" s="160" t="s">
        <v>74</v>
      </c>
      <c r="BS4" s="155"/>
      <c r="BT4" s="159" t="s">
        <v>62</v>
      </c>
      <c r="BU4" s="160" t="s">
        <v>73</v>
      </c>
      <c r="BV4" s="160" t="s">
        <v>75</v>
      </c>
      <c r="BW4" s="159" t="s">
        <v>62</v>
      </c>
      <c r="BX4" s="160" t="s">
        <v>73</v>
      </c>
      <c r="BY4" s="160" t="s">
        <v>75</v>
      </c>
      <c r="BZ4" s="159" t="s">
        <v>62</v>
      </c>
      <c r="CA4" s="160" t="s">
        <v>73</v>
      </c>
      <c r="CB4" s="160" t="s">
        <v>75</v>
      </c>
      <c r="CC4" s="159" t="s">
        <v>62</v>
      </c>
      <c r="CD4" s="160" t="s">
        <v>73</v>
      </c>
      <c r="CE4" s="160" t="s">
        <v>75</v>
      </c>
      <c r="CF4" s="161" t="s">
        <v>76</v>
      </c>
      <c r="CG4" s="160" t="s">
        <v>77</v>
      </c>
      <c r="CH4" s="146"/>
      <c r="CI4" s="157"/>
      <c r="CJ4" s="146"/>
      <c r="CK4" s="162"/>
      <c r="CL4" s="163"/>
      <c r="CM4" s="164" t="s">
        <v>78</v>
      </c>
      <c r="CN4" s="165" t="s">
        <v>79</v>
      </c>
      <c r="CO4" s="147" t="s">
        <v>80</v>
      </c>
      <c r="CP4" s="166" t="s">
        <v>72</v>
      </c>
      <c r="CQ4" s="164" t="s">
        <v>78</v>
      </c>
      <c r="CR4" s="165" t="s">
        <v>79</v>
      </c>
      <c r="CS4" s="147" t="s">
        <v>80</v>
      </c>
      <c r="CT4" s="166" t="s">
        <v>72</v>
      </c>
      <c r="CU4" s="167"/>
      <c r="CV4" s="157"/>
      <c r="CW4" s="146"/>
      <c r="CX4" s="147"/>
      <c r="CY4" s="165" t="s">
        <v>81</v>
      </c>
      <c r="CZ4" s="164" t="s">
        <v>82</v>
      </c>
      <c r="DA4" s="168" t="s">
        <v>83</v>
      </c>
      <c r="DB4" s="164" t="s">
        <v>82</v>
      </c>
      <c r="DC4" s="169" t="s">
        <v>83</v>
      </c>
      <c r="DD4" s="170" t="s">
        <v>84</v>
      </c>
      <c r="DE4" s="146"/>
      <c r="DF4" s="157"/>
      <c r="DG4" s="146"/>
      <c r="DH4" s="147"/>
      <c r="DI4" s="165" t="s">
        <v>81</v>
      </c>
      <c r="DJ4" s="164" t="s">
        <v>82</v>
      </c>
      <c r="DK4" s="168" t="s">
        <v>83</v>
      </c>
      <c r="DL4" s="164" t="s">
        <v>82</v>
      </c>
      <c r="DM4" s="168" t="s">
        <v>83</v>
      </c>
      <c r="DN4" s="146"/>
      <c r="DO4" s="157"/>
      <c r="DP4" s="146"/>
      <c r="DQ4" s="147"/>
      <c r="DR4" s="171"/>
      <c r="DS4" s="147" t="s">
        <v>69</v>
      </c>
      <c r="DT4" s="147" t="s">
        <v>70</v>
      </c>
      <c r="DU4" s="147" t="s">
        <v>71</v>
      </c>
      <c r="DV4" s="172" t="s">
        <v>72</v>
      </c>
      <c r="DW4" s="164" t="s">
        <v>69</v>
      </c>
      <c r="DX4" s="147" t="s">
        <v>70</v>
      </c>
      <c r="DY4" s="147" t="s">
        <v>71</v>
      </c>
      <c r="DZ4" s="173" t="s">
        <v>72</v>
      </c>
      <c r="EA4" s="174"/>
      <c r="EB4" s="157"/>
      <c r="EC4" s="146"/>
      <c r="ED4" s="148"/>
      <c r="EE4" s="148"/>
      <c r="EF4" s="175" t="s">
        <v>69</v>
      </c>
      <c r="EG4" s="176" t="s">
        <v>70</v>
      </c>
      <c r="EH4" s="176" t="s">
        <v>71</v>
      </c>
      <c r="EI4" s="177" t="s">
        <v>72</v>
      </c>
      <c r="EJ4" s="175" t="s">
        <v>69</v>
      </c>
      <c r="EK4" s="176" t="s">
        <v>70</v>
      </c>
      <c r="EL4" s="176" t="s">
        <v>71</v>
      </c>
      <c r="EM4" s="177" t="s">
        <v>72</v>
      </c>
      <c r="EN4" s="178"/>
      <c r="EO4" s="179"/>
      <c r="EP4" s="146"/>
      <c r="EQ4" s="148"/>
      <c r="ER4" s="180"/>
      <c r="ES4" s="176" t="s">
        <v>69</v>
      </c>
      <c r="ET4" s="176" t="s">
        <v>70</v>
      </c>
      <c r="EU4" s="176" t="s">
        <v>71</v>
      </c>
      <c r="EV4" s="177" t="s">
        <v>72</v>
      </c>
      <c r="EW4" s="176" t="s">
        <v>69</v>
      </c>
      <c r="EX4" s="176" t="s">
        <v>70</v>
      </c>
      <c r="EY4" s="176" t="s">
        <v>71</v>
      </c>
      <c r="EZ4" s="177" t="s">
        <v>72</v>
      </c>
      <c r="FA4" s="181" t="s">
        <v>85</v>
      </c>
      <c r="FB4" s="181" t="s">
        <v>86</v>
      </c>
      <c r="FC4" s="182" t="s">
        <v>87</v>
      </c>
      <c r="FD4" s="178"/>
      <c r="FE4" s="179"/>
      <c r="FF4" s="146"/>
      <c r="FG4" s="158"/>
      <c r="FH4" s="158"/>
      <c r="FI4" s="183"/>
      <c r="FJ4" s="164" t="s">
        <v>69</v>
      </c>
      <c r="FK4" s="147" t="s">
        <v>70</v>
      </c>
      <c r="FL4" s="147" t="s">
        <v>71</v>
      </c>
      <c r="FM4" s="184" t="s">
        <v>72</v>
      </c>
      <c r="FN4" s="164" t="str">
        <f>FJ4</f>
        <v>Small</v>
      </c>
      <c r="FO4" s="147" t="s">
        <v>70</v>
      </c>
      <c r="FP4" s="147" t="str">
        <f>FL4</f>
        <v>Large</v>
      </c>
      <c r="FQ4" s="147" t="s">
        <v>72</v>
      </c>
      <c r="FR4" s="166" t="s">
        <v>88</v>
      </c>
      <c r="FS4" s="185"/>
      <c r="FT4" s="186"/>
      <c r="FU4" s="146"/>
      <c r="FV4" s="155"/>
      <c r="FW4" s="187"/>
      <c r="FX4" s="147" t="s">
        <v>69</v>
      </c>
      <c r="FY4" s="147" t="s">
        <v>70</v>
      </c>
      <c r="FZ4" s="147" t="s">
        <v>71</v>
      </c>
      <c r="GA4" s="184" t="s">
        <v>89</v>
      </c>
      <c r="GB4" s="147" t="s">
        <v>69</v>
      </c>
      <c r="GC4" s="147" t="s">
        <v>70</v>
      </c>
      <c r="GD4" s="147" t="s">
        <v>71</v>
      </c>
      <c r="GE4" s="184" t="s">
        <v>89</v>
      </c>
      <c r="GF4" s="188"/>
      <c r="GG4" s="189"/>
      <c r="GH4" s="146"/>
      <c r="GI4" s="155"/>
      <c r="GJ4" s="187"/>
      <c r="GK4" s="147" t="s">
        <v>69</v>
      </c>
      <c r="GL4" s="147" t="s">
        <v>70</v>
      </c>
      <c r="GM4" s="147" t="s">
        <v>71</v>
      </c>
      <c r="GN4" s="184" t="s">
        <v>89</v>
      </c>
      <c r="GO4" s="147" t="s">
        <v>69</v>
      </c>
      <c r="GP4" s="147" t="s">
        <v>70</v>
      </c>
      <c r="GQ4" s="147" t="s">
        <v>71</v>
      </c>
      <c r="GR4" s="184" t="s">
        <v>89</v>
      </c>
      <c r="GS4" s="188"/>
      <c r="GT4" s="189"/>
      <c r="GU4" s="146"/>
      <c r="GV4" s="155"/>
      <c r="GW4" s="187"/>
      <c r="GX4" s="147" t="s">
        <v>69</v>
      </c>
      <c r="GY4" s="147" t="s">
        <v>70</v>
      </c>
      <c r="GZ4" s="147" t="s">
        <v>71</v>
      </c>
      <c r="HA4" s="184" t="s">
        <v>89</v>
      </c>
      <c r="HB4" s="164" t="s">
        <v>69</v>
      </c>
      <c r="HC4" s="147" t="s">
        <v>70</v>
      </c>
      <c r="HD4" s="147" t="s">
        <v>71</v>
      </c>
      <c r="HE4" s="184" t="s">
        <v>89</v>
      </c>
      <c r="HF4" s="188"/>
      <c r="HG4" s="189"/>
      <c r="HH4" s="146"/>
      <c r="HI4" s="155"/>
      <c r="HJ4" s="183"/>
      <c r="HK4" s="164" t="s">
        <v>69</v>
      </c>
      <c r="HL4" s="147" t="s">
        <v>70</v>
      </c>
      <c r="HM4" s="147" t="s">
        <v>71</v>
      </c>
      <c r="HN4" s="184" t="s">
        <v>72</v>
      </c>
      <c r="HO4" s="164" t="s">
        <v>69</v>
      </c>
      <c r="HP4" s="147" t="s">
        <v>70</v>
      </c>
      <c r="HQ4" s="147" t="s">
        <v>71</v>
      </c>
      <c r="HR4" s="184" t="s">
        <v>72</v>
      </c>
      <c r="HS4" s="146"/>
      <c r="HT4" s="157"/>
      <c r="HU4" s="146"/>
      <c r="HV4" s="146"/>
      <c r="HW4" s="190"/>
      <c r="HX4" s="160" t="s">
        <v>90</v>
      </c>
      <c r="HY4" s="160" t="s">
        <v>91</v>
      </c>
      <c r="HZ4" s="160" t="s">
        <v>92</v>
      </c>
      <c r="IA4" s="191" t="s">
        <v>93</v>
      </c>
      <c r="IB4" s="192" t="s">
        <v>94</v>
      </c>
      <c r="IC4" s="192" t="s">
        <v>95</v>
      </c>
      <c r="ID4" s="192" t="s">
        <v>96</v>
      </c>
      <c r="IE4" s="192" t="s">
        <v>97</v>
      </c>
      <c r="IF4" s="192" t="s">
        <v>98</v>
      </c>
      <c r="IG4" s="192" t="s">
        <v>99</v>
      </c>
      <c r="IH4" s="138"/>
      <c r="II4" s="186"/>
      <c r="IJ4" s="138"/>
      <c r="IK4" s="160"/>
      <c r="IL4" s="193" t="s">
        <v>90</v>
      </c>
      <c r="IM4" s="194" t="str">
        <f>ID4</f>
        <v>Volume Ratio</v>
      </c>
      <c r="IN4" s="195" t="s">
        <v>100</v>
      </c>
      <c r="IO4" s="170" t="s">
        <v>101</v>
      </c>
      <c r="IP4" s="195" t="str">
        <f>JQ4</f>
        <v>Study System</v>
      </c>
      <c r="IQ4" s="170" t="s">
        <v>102</v>
      </c>
      <c r="IR4" s="195" t="str">
        <f>IP4</f>
        <v>Study System</v>
      </c>
      <c r="IS4" s="170" t="s">
        <v>102</v>
      </c>
      <c r="IT4" s="195" t="str">
        <f>IR4</f>
        <v>Study System</v>
      </c>
      <c r="IU4" s="170" t="s">
        <v>102</v>
      </c>
      <c r="IV4" s="195" t="s">
        <v>103</v>
      </c>
      <c r="IW4" s="196" t="s">
        <v>104</v>
      </c>
      <c r="IX4" s="197"/>
      <c r="IY4" s="198"/>
      <c r="IZ4" s="197"/>
      <c r="JA4" s="171"/>
      <c r="JB4" s="199" t="s">
        <v>90</v>
      </c>
      <c r="JC4" s="200" t="s">
        <v>95</v>
      </c>
      <c r="JD4" s="200" t="s">
        <v>96</v>
      </c>
      <c r="JE4" s="171" t="str">
        <f>IN4</f>
        <v>Study System</v>
      </c>
      <c r="JF4" s="201" t="s">
        <v>105</v>
      </c>
      <c r="JG4" s="202" t="str">
        <f>JE4</f>
        <v>Study System</v>
      </c>
      <c r="JH4" s="201" t="s">
        <v>106</v>
      </c>
      <c r="JI4" s="202" t="str">
        <f>JE4</f>
        <v>Study System</v>
      </c>
      <c r="JJ4" s="201" t="s">
        <v>107</v>
      </c>
      <c r="JK4" s="202" t="str">
        <f>JI4</f>
        <v>Study System</v>
      </c>
      <c r="JL4" s="201" t="s">
        <v>108</v>
      </c>
      <c r="JM4" s="202" t="str">
        <f>JK4</f>
        <v>Study System</v>
      </c>
      <c r="JN4" s="201" t="s">
        <v>109</v>
      </c>
      <c r="JO4" s="202" t="str">
        <f>JM4</f>
        <v>Study System</v>
      </c>
      <c r="JP4" s="201" t="s">
        <v>110</v>
      </c>
      <c r="JQ4" s="202" t="str">
        <f>JK4</f>
        <v>Study System</v>
      </c>
      <c r="JR4" s="201" t="s">
        <v>111</v>
      </c>
      <c r="JS4" s="202" t="str">
        <f>JQ4</f>
        <v>Study System</v>
      </c>
      <c r="JT4" s="201" t="s">
        <v>112</v>
      </c>
      <c r="JU4" s="202" t="s">
        <v>113</v>
      </c>
      <c r="JV4" s="203" t="s">
        <v>114</v>
      </c>
      <c r="JW4" s="203" t="s">
        <v>115</v>
      </c>
      <c r="JX4" s="197"/>
      <c r="JY4" s="198"/>
      <c r="JZ4" s="204"/>
      <c r="KA4" s="205"/>
      <c r="KB4" s="150" t="s">
        <v>90</v>
      </c>
      <c r="KC4" s="206" t="s">
        <v>116</v>
      </c>
      <c r="KD4" s="206" t="s">
        <v>117</v>
      </c>
      <c r="KE4" s="206" t="s">
        <v>118</v>
      </c>
      <c r="KF4" s="206" t="s">
        <v>119</v>
      </c>
      <c r="KG4" s="206" t="s">
        <v>95</v>
      </c>
      <c r="KH4" s="206" t="s">
        <v>96</v>
      </c>
      <c r="KI4" s="150" t="s">
        <v>120</v>
      </c>
      <c r="KJ4" s="206" t="s">
        <v>121</v>
      </c>
      <c r="KK4" s="138"/>
      <c r="KL4" s="141"/>
      <c r="KM4" s="207"/>
      <c r="KN4" s="160"/>
      <c r="KO4" s="161" t="s">
        <v>90</v>
      </c>
      <c r="KP4" s="194" t="str">
        <f>KJ4</f>
        <v>FY Quarter</v>
      </c>
      <c r="KQ4" s="194" t="str">
        <f>KI4</f>
        <v>Total System Ratio</v>
      </c>
      <c r="KR4" s="195" t="s">
        <v>27</v>
      </c>
      <c r="KS4" s="170" t="s">
        <v>122</v>
      </c>
      <c r="KT4" s="195" t="s">
        <v>27</v>
      </c>
      <c r="KU4" s="170" t="str">
        <f>LV4</f>
        <v>Target Year</v>
      </c>
      <c r="KV4" s="195" t="str">
        <f>KT4</f>
        <v>Total System</v>
      </c>
      <c r="KW4" s="170" t="str">
        <f>KU4</f>
        <v>Target Year</v>
      </c>
      <c r="KX4" s="196" t="s">
        <v>27</v>
      </c>
      <c r="KY4" s="196" t="s">
        <v>122</v>
      </c>
      <c r="KZ4" s="195" t="s">
        <v>123</v>
      </c>
      <c r="LA4" s="196" t="s">
        <v>124</v>
      </c>
      <c r="LB4" s="207"/>
      <c r="LC4" s="208"/>
      <c r="LD4" s="207"/>
      <c r="LE4" s="171"/>
      <c r="LF4" s="193" t="s">
        <v>125</v>
      </c>
      <c r="LG4" s="209" t="s">
        <v>95</v>
      </c>
      <c r="LH4" s="194" t="s">
        <v>96</v>
      </c>
      <c r="LI4" s="195" t="s">
        <v>126</v>
      </c>
      <c r="LJ4" s="170" t="s">
        <v>122</v>
      </c>
      <c r="LK4" s="195" t="s">
        <v>126</v>
      </c>
      <c r="LL4" s="170" t="str">
        <f>LJ4</f>
        <v>Target Year</v>
      </c>
      <c r="LM4" s="195" t="s">
        <v>126</v>
      </c>
      <c r="LN4" s="170" t="str">
        <f>LL4</f>
        <v>Target Year</v>
      </c>
      <c r="LO4" s="195" t="s">
        <v>126</v>
      </c>
      <c r="LP4" s="170" t="str">
        <f>LN4</f>
        <v>Target Year</v>
      </c>
      <c r="LQ4" s="195" t="s">
        <v>127</v>
      </c>
      <c r="LR4" s="170" t="str">
        <f>LN4</f>
        <v>Target Year</v>
      </c>
      <c r="LS4" s="195" t="s">
        <v>127</v>
      </c>
      <c r="LT4" s="170" t="str">
        <f>LP4</f>
        <v>Target Year</v>
      </c>
      <c r="LU4" s="195" t="s">
        <v>127</v>
      </c>
      <c r="LV4" s="170" t="str">
        <f>LP4</f>
        <v>Target Year</v>
      </c>
      <c r="LW4" s="195" t="s">
        <v>127</v>
      </c>
      <c r="LX4" s="170" t="str">
        <f>LV4</f>
        <v>Target Year</v>
      </c>
      <c r="LY4" s="195" t="s">
        <v>27</v>
      </c>
      <c r="LZ4" s="196" t="s">
        <v>442</v>
      </c>
      <c r="MA4" s="210"/>
      <c r="MB4" s="211"/>
      <c r="MC4" s="153"/>
      <c r="MD4" s="171"/>
      <c r="ME4" s="165" t="s">
        <v>90</v>
      </c>
      <c r="MF4" s="195" t="s">
        <v>100</v>
      </c>
      <c r="MG4" s="165" t="s">
        <v>27</v>
      </c>
      <c r="MH4" s="170" t="s">
        <v>122</v>
      </c>
      <c r="MI4" s="195" t="s">
        <v>100</v>
      </c>
      <c r="MJ4" s="165" t="s">
        <v>27</v>
      </c>
      <c r="MK4" s="170" t="s">
        <v>122</v>
      </c>
      <c r="ML4" s="195" t="s">
        <v>100</v>
      </c>
      <c r="MM4" s="165" t="s">
        <v>27</v>
      </c>
      <c r="MN4" s="170" t="s">
        <v>122</v>
      </c>
      <c r="MO4" s="146"/>
      <c r="MP4" s="157"/>
      <c r="MQ4" s="146"/>
      <c r="MR4" s="165"/>
      <c r="MS4" s="165" t="s">
        <v>128</v>
      </c>
      <c r="MT4" s="165" t="s">
        <v>129</v>
      </c>
      <c r="MU4" s="146"/>
      <c r="MV4" s="157"/>
      <c r="MW4" s="146"/>
      <c r="MX4" s="147"/>
      <c r="MY4" s="148"/>
      <c r="MZ4" s="983" t="s">
        <v>130</v>
      </c>
      <c r="NA4" s="983"/>
      <c r="NB4" s="898"/>
      <c r="NC4" s="982" t="s">
        <v>131</v>
      </c>
      <c r="ND4" s="983"/>
      <c r="NE4" s="146"/>
      <c r="NF4" s="157"/>
      <c r="NG4" s="146"/>
      <c r="NH4" s="147"/>
      <c r="NI4" s="212"/>
      <c r="NJ4" s="898" t="s">
        <v>132</v>
      </c>
      <c r="NK4" s="212" t="s">
        <v>133</v>
      </c>
      <c r="NL4" s="898" t="s">
        <v>134</v>
      </c>
      <c r="NM4" s="898" t="s">
        <v>134</v>
      </c>
      <c r="NN4" s="146"/>
      <c r="NO4" s="157"/>
      <c r="NP4" s="146"/>
      <c r="NQ4" s="213"/>
      <c r="NR4" s="213"/>
      <c r="NS4" s="213"/>
      <c r="NT4" s="213"/>
      <c r="NU4" s="213"/>
      <c r="NV4" s="213"/>
      <c r="NW4" s="213"/>
    </row>
    <row r="5" spans="2:387" ht="21" customHeight="1" x14ac:dyDescent="0.3">
      <c r="B5" s="215" t="s">
        <v>135</v>
      </c>
      <c r="C5" s="216"/>
      <c r="D5" s="217"/>
      <c r="E5" s="218"/>
      <c r="F5" s="219" t="s">
        <v>136</v>
      </c>
      <c r="G5" s="220" t="s">
        <v>137</v>
      </c>
      <c r="H5" s="221" t="s">
        <v>138</v>
      </c>
      <c r="I5" s="215" t="s">
        <v>139</v>
      </c>
      <c r="J5" s="220" t="s">
        <v>140</v>
      </c>
      <c r="K5" s="219" t="s">
        <v>141</v>
      </c>
      <c r="L5" s="222" t="s">
        <v>142</v>
      </c>
      <c r="M5" s="220" t="s">
        <v>143</v>
      </c>
      <c r="N5" s="219" t="s">
        <v>144</v>
      </c>
      <c r="O5" s="222" t="s">
        <v>145</v>
      </c>
      <c r="P5" s="220" t="s">
        <v>146</v>
      </c>
      <c r="Q5" s="223" t="s">
        <v>147</v>
      </c>
      <c r="R5" s="215" t="s">
        <v>148</v>
      </c>
      <c r="S5" s="224"/>
      <c r="T5" s="225"/>
      <c r="U5" s="214"/>
      <c r="V5" s="226" t="s">
        <v>135</v>
      </c>
      <c r="W5" s="227" t="s">
        <v>136</v>
      </c>
      <c r="X5" s="226" t="s">
        <v>137</v>
      </c>
      <c r="Y5" s="228" t="s">
        <v>149</v>
      </c>
      <c r="Z5" s="226" t="s">
        <v>139</v>
      </c>
      <c r="AA5" s="226" t="s">
        <v>140</v>
      </c>
      <c r="AB5" s="207"/>
      <c r="AC5" s="229"/>
      <c r="AD5" s="225"/>
      <c r="AE5" s="214"/>
      <c r="AF5" s="226" t="s">
        <v>135</v>
      </c>
      <c r="AG5" s="227" t="s">
        <v>136</v>
      </c>
      <c r="AH5" s="226" t="s">
        <v>137</v>
      </c>
      <c r="AI5" s="228" t="s">
        <v>149</v>
      </c>
      <c r="AJ5" s="226" t="s">
        <v>139</v>
      </c>
      <c r="AK5" s="214"/>
      <c r="AL5" s="230"/>
      <c r="AM5" s="214"/>
      <c r="AN5" s="226" t="s">
        <v>135</v>
      </c>
      <c r="AO5" s="231"/>
      <c r="AP5" s="232"/>
      <c r="AQ5" s="232"/>
      <c r="AR5" s="233"/>
      <c r="AS5" s="226" t="s">
        <v>136</v>
      </c>
      <c r="AT5" s="226" t="s">
        <v>137</v>
      </c>
      <c r="AU5" s="226"/>
      <c r="AV5" s="226">
        <v>0</v>
      </c>
      <c r="AW5" s="226" t="s">
        <v>137</v>
      </c>
      <c r="AX5" s="226" t="s">
        <v>149</v>
      </c>
      <c r="AY5" s="226"/>
      <c r="AZ5" s="226" t="s">
        <v>139</v>
      </c>
      <c r="BA5" s="226" t="s">
        <v>140</v>
      </c>
      <c r="BB5" s="226" t="s">
        <v>141</v>
      </c>
      <c r="BC5" s="226"/>
      <c r="BD5" s="226" t="s">
        <v>142</v>
      </c>
      <c r="BE5" s="226" t="s">
        <v>143</v>
      </c>
      <c r="BF5" s="226" t="s">
        <v>144</v>
      </c>
      <c r="BG5" s="226"/>
      <c r="BH5" s="226" t="s">
        <v>145</v>
      </c>
      <c r="BI5" s="226" t="s">
        <v>146</v>
      </c>
      <c r="BJ5" s="226" t="s">
        <v>147</v>
      </c>
      <c r="BK5" s="226"/>
      <c r="BL5" s="226" t="s">
        <v>148</v>
      </c>
      <c r="BM5" s="226" t="s">
        <v>150</v>
      </c>
      <c r="BN5" s="226" t="s">
        <v>151</v>
      </c>
      <c r="BO5" s="226"/>
      <c r="BP5" s="226" t="s">
        <v>152</v>
      </c>
      <c r="BQ5" s="226" t="s">
        <v>153</v>
      </c>
      <c r="BR5" s="226" t="s">
        <v>154</v>
      </c>
      <c r="BS5" s="226"/>
      <c r="BT5" s="226" t="s">
        <v>155</v>
      </c>
      <c r="BU5" s="226" t="s">
        <v>156</v>
      </c>
      <c r="BV5" s="226" t="s">
        <v>157</v>
      </c>
      <c r="BW5" s="227" t="s">
        <v>136</v>
      </c>
      <c r="BX5" s="226" t="s">
        <v>137</v>
      </c>
      <c r="BY5" s="226" t="s">
        <v>138</v>
      </c>
      <c r="BZ5" s="227" t="s">
        <v>136</v>
      </c>
      <c r="CA5" s="226" t="s">
        <v>137</v>
      </c>
      <c r="CB5" s="226" t="s">
        <v>138</v>
      </c>
      <c r="CC5" s="234" t="s">
        <v>139</v>
      </c>
      <c r="CD5" s="226" t="s">
        <v>140</v>
      </c>
      <c r="CE5" s="226" t="s">
        <v>141</v>
      </c>
      <c r="CF5" s="235" t="s">
        <v>142</v>
      </c>
      <c r="CG5" s="226" t="s">
        <v>143</v>
      </c>
      <c r="CH5" s="214"/>
      <c r="CI5" s="225"/>
      <c r="CJ5" s="214"/>
      <c r="CK5" s="226" t="s">
        <v>135</v>
      </c>
      <c r="CL5" s="236"/>
      <c r="CM5" s="226" t="s">
        <v>136</v>
      </c>
      <c r="CN5" s="226" t="s">
        <v>137</v>
      </c>
      <c r="CO5" s="226" t="s">
        <v>149</v>
      </c>
      <c r="CP5" s="237" t="s">
        <v>139</v>
      </c>
      <c r="CQ5" s="226" t="s">
        <v>140</v>
      </c>
      <c r="CR5" s="226" t="s">
        <v>141</v>
      </c>
      <c r="CS5" s="226" t="s">
        <v>142</v>
      </c>
      <c r="CT5" s="226" t="s">
        <v>143</v>
      </c>
      <c r="CU5" s="238"/>
      <c r="CV5" s="186"/>
      <c r="CW5" s="214"/>
      <c r="CX5" s="226" t="s">
        <v>135</v>
      </c>
      <c r="CY5" s="239"/>
      <c r="CZ5" s="226" t="s">
        <v>136</v>
      </c>
      <c r="DA5" s="240" t="s">
        <v>137</v>
      </c>
      <c r="DB5" s="226" t="s">
        <v>149</v>
      </c>
      <c r="DC5" s="241" t="s">
        <v>139</v>
      </c>
      <c r="DD5" s="241" t="s">
        <v>140</v>
      </c>
      <c r="DE5" s="214"/>
      <c r="DF5" s="186"/>
      <c r="DG5" s="214"/>
      <c r="DH5" s="226" t="s">
        <v>135</v>
      </c>
      <c r="DI5" s="239"/>
      <c r="DJ5" s="226" t="s">
        <v>136</v>
      </c>
      <c r="DK5" s="240" t="s">
        <v>137</v>
      </c>
      <c r="DL5" s="226" t="s">
        <v>149</v>
      </c>
      <c r="DM5" s="241" t="s">
        <v>139</v>
      </c>
      <c r="DN5" s="214"/>
      <c r="DO5" s="225"/>
      <c r="DP5" s="214"/>
      <c r="DQ5" s="226" t="s">
        <v>135</v>
      </c>
      <c r="DR5" s="242"/>
      <c r="DS5" s="241" t="s">
        <v>136</v>
      </c>
      <c r="DT5" s="241" t="s">
        <v>137</v>
      </c>
      <c r="DU5" s="241" t="s">
        <v>149</v>
      </c>
      <c r="DV5" s="241" t="s">
        <v>139</v>
      </c>
      <c r="DW5" s="243" t="s">
        <v>140</v>
      </c>
      <c r="DX5" s="241" t="s">
        <v>141</v>
      </c>
      <c r="DY5" s="241" t="s">
        <v>142</v>
      </c>
      <c r="DZ5" s="241" t="s">
        <v>143</v>
      </c>
      <c r="EA5" s="214"/>
      <c r="EB5" s="225"/>
      <c r="EC5" s="214"/>
      <c r="ED5" s="226" t="s">
        <v>135</v>
      </c>
      <c r="EE5" s="236"/>
      <c r="EF5" s="226" t="s">
        <v>136</v>
      </c>
      <c r="EG5" s="226" t="s">
        <v>137</v>
      </c>
      <c r="EH5" s="226" t="s">
        <v>149</v>
      </c>
      <c r="EI5" s="237" t="s">
        <v>139</v>
      </c>
      <c r="EJ5" s="226" t="s">
        <v>140</v>
      </c>
      <c r="EK5" s="226" t="s">
        <v>141</v>
      </c>
      <c r="EL5" s="226" t="s">
        <v>142</v>
      </c>
      <c r="EM5" s="226" t="s">
        <v>143</v>
      </c>
      <c r="EN5" s="244"/>
      <c r="EO5" s="245"/>
      <c r="EP5" s="214"/>
      <c r="EQ5" s="226" t="s">
        <v>135</v>
      </c>
      <c r="ER5" s="236"/>
      <c r="ES5" s="226" t="s">
        <v>136</v>
      </c>
      <c r="ET5" s="226" t="s">
        <v>137</v>
      </c>
      <c r="EU5" s="226" t="s">
        <v>149</v>
      </c>
      <c r="EV5" s="237" t="s">
        <v>139</v>
      </c>
      <c r="EW5" s="226" t="s">
        <v>140</v>
      </c>
      <c r="EX5" s="226" t="s">
        <v>141</v>
      </c>
      <c r="EY5" s="226" t="s">
        <v>142</v>
      </c>
      <c r="EZ5" s="237" t="s">
        <v>143</v>
      </c>
      <c r="FA5" s="226" t="s">
        <v>144</v>
      </c>
      <c r="FB5" s="226" t="s">
        <v>145</v>
      </c>
      <c r="FC5" s="226" t="s">
        <v>146</v>
      </c>
      <c r="FD5" s="244"/>
      <c r="FE5" s="245"/>
      <c r="FF5" s="214"/>
      <c r="FG5" s="226" t="s">
        <v>135</v>
      </c>
      <c r="FH5" s="232"/>
      <c r="FI5" s="246"/>
      <c r="FJ5" s="226" t="s">
        <v>136</v>
      </c>
      <c r="FK5" s="226" t="s">
        <v>137</v>
      </c>
      <c r="FL5" s="226" t="s">
        <v>149</v>
      </c>
      <c r="FM5" s="237" t="s">
        <v>139</v>
      </c>
      <c r="FN5" s="226" t="s">
        <v>140</v>
      </c>
      <c r="FO5" s="226" t="s">
        <v>141</v>
      </c>
      <c r="FP5" s="226" t="s">
        <v>142</v>
      </c>
      <c r="FQ5" s="226" t="s">
        <v>143</v>
      </c>
      <c r="FR5" s="226" t="s">
        <v>144</v>
      </c>
      <c r="FS5" s="244"/>
      <c r="FT5" s="186"/>
      <c r="FU5" s="214"/>
      <c r="FV5" s="226" t="s">
        <v>135</v>
      </c>
      <c r="FW5" s="247"/>
      <c r="FX5" s="226" t="s">
        <v>136</v>
      </c>
      <c r="FY5" s="226" t="s">
        <v>137</v>
      </c>
      <c r="FZ5" s="226" t="s">
        <v>149</v>
      </c>
      <c r="GA5" s="237" t="s">
        <v>139</v>
      </c>
      <c r="GB5" s="226" t="s">
        <v>140</v>
      </c>
      <c r="GC5" s="226" t="s">
        <v>141</v>
      </c>
      <c r="GD5" s="226" t="s">
        <v>142</v>
      </c>
      <c r="GE5" s="226" t="s">
        <v>143</v>
      </c>
      <c r="GF5" s="248"/>
      <c r="GG5" s="225"/>
      <c r="GH5" s="214"/>
      <c r="GI5" s="226" t="s">
        <v>135</v>
      </c>
      <c r="GJ5" s="247"/>
      <c r="GK5" s="226" t="s">
        <v>136</v>
      </c>
      <c r="GL5" s="226" t="s">
        <v>137</v>
      </c>
      <c r="GM5" s="226" t="s">
        <v>149</v>
      </c>
      <c r="GN5" s="237" t="s">
        <v>139</v>
      </c>
      <c r="GO5" s="226" t="s">
        <v>140</v>
      </c>
      <c r="GP5" s="226" t="s">
        <v>141</v>
      </c>
      <c r="GQ5" s="226" t="s">
        <v>142</v>
      </c>
      <c r="GR5" s="226" t="s">
        <v>143</v>
      </c>
      <c r="GS5" s="248"/>
      <c r="GT5" s="225"/>
      <c r="GU5" s="214"/>
      <c r="GV5" s="226" t="s">
        <v>135</v>
      </c>
      <c r="GW5" s="247"/>
      <c r="GX5" s="226" t="s">
        <v>136</v>
      </c>
      <c r="GY5" s="226" t="s">
        <v>137</v>
      </c>
      <c r="GZ5" s="226" t="s">
        <v>149</v>
      </c>
      <c r="HA5" s="237" t="s">
        <v>139</v>
      </c>
      <c r="HB5" s="226" t="s">
        <v>140</v>
      </c>
      <c r="HC5" s="226" t="s">
        <v>141</v>
      </c>
      <c r="HD5" s="226" t="s">
        <v>142</v>
      </c>
      <c r="HE5" s="226" t="s">
        <v>143</v>
      </c>
      <c r="HF5" s="248"/>
      <c r="HG5" s="225"/>
      <c r="HH5" s="214"/>
      <c r="HI5" s="226" t="s">
        <v>135</v>
      </c>
      <c r="HJ5" s="233"/>
      <c r="HK5" s="226" t="s">
        <v>136</v>
      </c>
      <c r="HL5" s="226" t="s">
        <v>137</v>
      </c>
      <c r="HM5" s="226" t="s">
        <v>149</v>
      </c>
      <c r="HN5" s="237" t="s">
        <v>139</v>
      </c>
      <c r="HO5" s="226" t="s">
        <v>140</v>
      </c>
      <c r="HP5" s="226" t="s">
        <v>141</v>
      </c>
      <c r="HQ5" s="226" t="s">
        <v>142</v>
      </c>
      <c r="HR5" s="226" t="s">
        <v>143</v>
      </c>
      <c r="HS5" s="214"/>
      <c r="HT5" s="225"/>
      <c r="HU5" s="214"/>
      <c r="HV5" s="214"/>
      <c r="HW5" s="249" t="s">
        <v>158</v>
      </c>
      <c r="HX5" s="226" t="s">
        <v>136</v>
      </c>
      <c r="HY5" s="226" t="s">
        <v>137</v>
      </c>
      <c r="HZ5" s="226" t="s">
        <v>149</v>
      </c>
      <c r="IA5" s="226" t="s">
        <v>139</v>
      </c>
      <c r="IB5" s="226" t="s">
        <v>140</v>
      </c>
      <c r="IC5" s="226" t="s">
        <v>141</v>
      </c>
      <c r="ID5" s="226" t="s">
        <v>142</v>
      </c>
      <c r="IE5" s="226" t="s">
        <v>143</v>
      </c>
      <c r="IF5" s="226" t="s">
        <v>144</v>
      </c>
      <c r="IG5" s="226" t="s">
        <v>145</v>
      </c>
      <c r="IH5" s="207"/>
      <c r="II5" s="135"/>
      <c r="IJ5" s="207"/>
      <c r="IK5" s="250" t="s">
        <v>135</v>
      </c>
      <c r="IL5" s="251" t="s">
        <v>136</v>
      </c>
      <c r="IM5" s="237" t="s">
        <v>137</v>
      </c>
      <c r="IN5" s="226" t="s">
        <v>149</v>
      </c>
      <c r="IO5" s="237" t="s">
        <v>139</v>
      </c>
      <c r="IP5" s="226" t="s">
        <v>140</v>
      </c>
      <c r="IQ5" s="237" t="s">
        <v>141</v>
      </c>
      <c r="IR5" s="226" t="s">
        <v>142</v>
      </c>
      <c r="IS5" s="237" t="s">
        <v>143</v>
      </c>
      <c r="IT5" s="226" t="s">
        <v>144</v>
      </c>
      <c r="IU5" s="226" t="s">
        <v>145</v>
      </c>
      <c r="IV5" s="226" t="s">
        <v>146</v>
      </c>
      <c r="IW5" s="226" t="s">
        <v>147</v>
      </c>
      <c r="IX5" s="207"/>
      <c r="IY5" s="208"/>
      <c r="IZ5" s="207"/>
      <c r="JA5" s="252" t="s">
        <v>158</v>
      </c>
      <c r="JB5" s="253" t="s">
        <v>136</v>
      </c>
      <c r="JC5" s="254" t="s">
        <v>137</v>
      </c>
      <c r="JD5" s="253" t="s">
        <v>149</v>
      </c>
      <c r="JE5" s="255" t="s">
        <v>139</v>
      </c>
      <c r="JF5" s="254" t="s">
        <v>140</v>
      </c>
      <c r="JG5" s="255" t="s">
        <v>141</v>
      </c>
      <c r="JH5" s="254" t="s">
        <v>142</v>
      </c>
      <c r="JI5" s="255" t="s">
        <v>143</v>
      </c>
      <c r="JJ5" s="254" t="s">
        <v>144</v>
      </c>
      <c r="JK5" s="255" t="s">
        <v>145</v>
      </c>
      <c r="JL5" s="254" t="s">
        <v>146</v>
      </c>
      <c r="JM5" s="255" t="s">
        <v>147</v>
      </c>
      <c r="JN5" s="254" t="s">
        <v>148</v>
      </c>
      <c r="JO5" s="255" t="s">
        <v>150</v>
      </c>
      <c r="JP5" s="254" t="s">
        <v>151</v>
      </c>
      <c r="JQ5" s="255" t="s">
        <v>152</v>
      </c>
      <c r="JR5" s="254" t="s">
        <v>153</v>
      </c>
      <c r="JS5" s="256" t="s">
        <v>159</v>
      </c>
      <c r="JT5" s="254" t="s">
        <v>155</v>
      </c>
      <c r="JU5" s="255" t="s">
        <v>156</v>
      </c>
      <c r="JV5" s="255" t="s">
        <v>157</v>
      </c>
      <c r="JW5" s="255" t="s">
        <v>160</v>
      </c>
      <c r="JX5" s="207"/>
      <c r="JY5" s="208"/>
      <c r="JZ5" s="101"/>
      <c r="KA5" s="249" t="s">
        <v>135</v>
      </c>
      <c r="KB5" s="226" t="s">
        <v>136</v>
      </c>
      <c r="KC5" s="226" t="s">
        <v>137</v>
      </c>
      <c r="KD5" s="226" t="s">
        <v>161</v>
      </c>
      <c r="KE5" s="226" t="s">
        <v>139</v>
      </c>
      <c r="KF5" s="226" t="s">
        <v>162</v>
      </c>
      <c r="KG5" s="226" t="s">
        <v>141</v>
      </c>
      <c r="KH5" s="226" t="s">
        <v>142</v>
      </c>
      <c r="KI5" s="226" t="s">
        <v>143</v>
      </c>
      <c r="KJ5" s="226" t="s">
        <v>144</v>
      </c>
      <c r="KK5" s="207"/>
      <c r="KL5" s="208"/>
      <c r="KM5" s="138"/>
      <c r="KN5" s="249" t="s">
        <v>135</v>
      </c>
      <c r="KO5" s="226" t="str">
        <f>KB5</f>
        <v>(a)</v>
      </c>
      <c r="KP5" s="226" t="s">
        <v>137</v>
      </c>
      <c r="KQ5" s="226" t="s">
        <v>161</v>
      </c>
      <c r="KR5" s="226" t="s">
        <v>139</v>
      </c>
      <c r="KS5" s="226" t="s">
        <v>162</v>
      </c>
      <c r="KT5" s="226" t="s">
        <v>141</v>
      </c>
      <c r="KU5" s="226" t="s">
        <v>142</v>
      </c>
      <c r="KV5" s="226" t="s">
        <v>143</v>
      </c>
      <c r="KW5" s="226" t="s">
        <v>144</v>
      </c>
      <c r="KX5" s="226" t="s">
        <v>145</v>
      </c>
      <c r="KY5" s="226" t="s">
        <v>146</v>
      </c>
      <c r="KZ5" s="226" t="s">
        <v>147</v>
      </c>
      <c r="LA5" s="226" t="s">
        <v>148</v>
      </c>
      <c r="LB5" s="138"/>
      <c r="LC5" s="141"/>
      <c r="LD5" s="138"/>
      <c r="LE5" s="257" t="s">
        <v>135</v>
      </c>
      <c r="LF5" s="251" t="s">
        <v>136</v>
      </c>
      <c r="LG5" s="251" t="s">
        <v>137</v>
      </c>
      <c r="LH5" s="251" t="s">
        <v>161</v>
      </c>
      <c r="LI5" s="226" t="s">
        <v>139</v>
      </c>
      <c r="LJ5" s="237" t="s">
        <v>162</v>
      </c>
      <c r="LK5" s="226" t="s">
        <v>141</v>
      </c>
      <c r="LL5" s="237" t="s">
        <v>142</v>
      </c>
      <c r="LM5" s="226" t="s">
        <v>143</v>
      </c>
      <c r="LN5" s="237" t="s">
        <v>144</v>
      </c>
      <c r="LO5" s="237" t="s">
        <v>145</v>
      </c>
      <c r="LP5" s="237" t="s">
        <v>146</v>
      </c>
      <c r="LQ5" s="226" t="s">
        <v>147</v>
      </c>
      <c r="LR5" s="237" t="s">
        <v>148</v>
      </c>
      <c r="LS5" s="226" t="s">
        <v>150</v>
      </c>
      <c r="LT5" s="237" t="s">
        <v>151</v>
      </c>
      <c r="LU5" s="226" t="s">
        <v>152</v>
      </c>
      <c r="LV5" s="237" t="s">
        <v>153</v>
      </c>
      <c r="LW5" s="226" t="s">
        <v>154</v>
      </c>
      <c r="LX5" s="237" t="s">
        <v>163</v>
      </c>
      <c r="LY5" s="226" t="s">
        <v>156</v>
      </c>
      <c r="LZ5" s="226" t="s">
        <v>157</v>
      </c>
      <c r="MA5" s="101"/>
      <c r="MB5" s="189"/>
      <c r="MC5" s="224"/>
      <c r="MD5" s="249" t="s">
        <v>158</v>
      </c>
      <c r="ME5" s="237" t="s">
        <v>136</v>
      </c>
      <c r="MF5" s="226" t="s">
        <v>137</v>
      </c>
      <c r="MG5" s="226" t="s">
        <v>161</v>
      </c>
      <c r="MH5" s="237" t="s">
        <v>139</v>
      </c>
      <c r="MI5" s="226" t="s">
        <v>162</v>
      </c>
      <c r="MJ5" s="226" t="s">
        <v>141</v>
      </c>
      <c r="MK5" s="237" t="s">
        <v>142</v>
      </c>
      <c r="ML5" s="226" t="s">
        <v>143</v>
      </c>
      <c r="MM5" s="226" t="s">
        <v>144</v>
      </c>
      <c r="MN5" s="226" t="s">
        <v>145</v>
      </c>
      <c r="MO5" s="214"/>
      <c r="MP5" s="230"/>
      <c r="MQ5" s="224"/>
      <c r="MR5" s="249" t="s">
        <v>135</v>
      </c>
      <c r="MS5" s="227" t="s">
        <v>136</v>
      </c>
      <c r="MT5" s="226" t="s">
        <v>137</v>
      </c>
      <c r="MU5" s="224"/>
      <c r="MV5" s="230"/>
      <c r="MW5" s="224"/>
      <c r="MX5" s="258"/>
      <c r="MY5" s="258"/>
      <c r="MZ5" s="259" t="s">
        <v>62</v>
      </c>
      <c r="NA5" s="260" t="s">
        <v>63</v>
      </c>
      <c r="NB5" s="261"/>
      <c r="NC5" s="262" t="s">
        <v>62</v>
      </c>
      <c r="ND5" s="260" t="s">
        <v>63</v>
      </c>
      <c r="NE5" s="214"/>
      <c r="NF5" s="230"/>
      <c r="NG5" s="224"/>
      <c r="NH5" s="258"/>
      <c r="NI5" s="258"/>
      <c r="NJ5" s="258"/>
      <c r="NK5" s="258"/>
      <c r="NL5" s="263" t="s">
        <v>164</v>
      </c>
      <c r="NM5" s="263" t="s">
        <v>165</v>
      </c>
      <c r="NN5" s="214"/>
      <c r="NO5" s="230"/>
      <c r="NP5" s="224"/>
      <c r="NQ5" s="264"/>
      <c r="NR5" s="264"/>
      <c r="NS5" s="264"/>
      <c r="NT5" s="264"/>
      <c r="NU5" s="264"/>
      <c r="NV5" s="264"/>
      <c r="NW5" s="264"/>
    </row>
    <row r="6" spans="2:387" x14ac:dyDescent="0.3">
      <c r="B6" s="265">
        <v>1</v>
      </c>
      <c r="C6" s="266" t="s">
        <v>166</v>
      </c>
      <c r="D6" s="267"/>
      <c r="E6" s="268"/>
      <c r="F6" s="269"/>
      <c r="G6" s="270"/>
      <c r="H6" s="271"/>
      <c r="I6" s="272"/>
      <c r="J6" s="270"/>
      <c r="K6" s="269"/>
      <c r="L6" s="273"/>
      <c r="M6" s="270"/>
      <c r="N6" s="269"/>
      <c r="O6" s="273"/>
      <c r="P6" s="270"/>
      <c r="Q6" s="274"/>
      <c r="R6" s="272"/>
      <c r="V6" s="275"/>
      <c r="W6" s="276" t="s">
        <v>25</v>
      </c>
      <c r="X6" s="277"/>
      <c r="Y6" s="278"/>
      <c r="Z6" s="278"/>
      <c r="AA6" s="278"/>
      <c r="AB6" s="279"/>
      <c r="AC6" s="280"/>
      <c r="AF6" s="281"/>
      <c r="AG6" s="282" t="s">
        <v>25</v>
      </c>
      <c r="AH6" s="97"/>
      <c r="AI6" s="97"/>
      <c r="AJ6" s="97"/>
      <c r="AN6" s="283">
        <v>1</v>
      </c>
      <c r="AO6" s="284"/>
      <c r="AP6" s="285" t="s">
        <v>166</v>
      </c>
      <c r="AQ6" s="281"/>
      <c r="AR6" s="28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287"/>
      <c r="CD6" s="97"/>
      <c r="CE6" s="97"/>
      <c r="CF6" s="287"/>
      <c r="CG6" s="97"/>
      <c r="CK6" s="283">
        <v>1</v>
      </c>
      <c r="CL6" s="288" t="s">
        <v>69</v>
      </c>
      <c r="CM6" s="289">
        <v>227847.12639999998</v>
      </c>
      <c r="CN6" s="17">
        <v>4426873.1057000002</v>
      </c>
      <c r="CO6" s="17">
        <v>573783.94040000008</v>
      </c>
      <c r="CP6" s="290">
        <f>CO6+CN6</f>
        <v>5000657.0460999999</v>
      </c>
      <c r="CQ6" s="289">
        <v>230065.55064242429</v>
      </c>
      <c r="CR6" s="17">
        <v>4467617.8590333341</v>
      </c>
      <c r="CS6" s="17">
        <v>444149.88200351072</v>
      </c>
      <c r="CT6" s="17">
        <f>CS6+CR6</f>
        <v>4911767.7410368444</v>
      </c>
      <c r="CU6" s="291"/>
      <c r="CV6" s="186"/>
      <c r="CX6" s="283">
        <v>1</v>
      </c>
      <c r="CY6" s="292" t="s">
        <v>69</v>
      </c>
      <c r="CZ6" s="293">
        <v>27072.303499999998</v>
      </c>
      <c r="DA6" s="290">
        <v>571445.50265000004</v>
      </c>
      <c r="DB6" s="293">
        <v>27072.303499999998</v>
      </c>
      <c r="DC6" s="17">
        <v>571445.50264999992</v>
      </c>
      <c r="DD6" s="17">
        <v>571445.50264999992</v>
      </c>
      <c r="DF6" s="186"/>
      <c r="DH6" s="283">
        <v>1</v>
      </c>
      <c r="DI6" s="292" t="s">
        <v>69</v>
      </c>
      <c r="DJ6" s="293">
        <v>125693.06199999999</v>
      </c>
      <c r="DK6" s="290">
        <v>3148278.1857500002</v>
      </c>
      <c r="DL6" s="293">
        <v>127299.97109090912</v>
      </c>
      <c r="DM6" s="17">
        <v>3327431.0126313376</v>
      </c>
      <c r="DQ6" s="283">
        <v>1</v>
      </c>
      <c r="DR6" s="294" t="s">
        <v>167</v>
      </c>
      <c r="DS6" s="295">
        <v>240234</v>
      </c>
      <c r="DT6" s="295">
        <v>283539</v>
      </c>
      <c r="DU6" s="295">
        <v>365317</v>
      </c>
      <c r="DV6" s="295">
        <f>SUM(DS6:DU6)</f>
        <v>889090</v>
      </c>
      <c r="DW6" s="296">
        <v>228850</v>
      </c>
      <c r="DX6" s="295">
        <v>279164</v>
      </c>
      <c r="DY6" s="295">
        <v>340128</v>
      </c>
      <c r="DZ6" s="295">
        <v>848142</v>
      </c>
      <c r="ED6" s="283">
        <v>1</v>
      </c>
      <c r="EE6" s="286" t="s">
        <v>168</v>
      </c>
      <c r="EF6" s="17">
        <v>287644.26399999997</v>
      </c>
      <c r="EG6" s="17">
        <v>414688.32799999998</v>
      </c>
      <c r="EH6" s="17">
        <v>382662.99469999998</v>
      </c>
      <c r="EI6" s="290">
        <f>SUM(EF6:EH6)</f>
        <v>1084995.5866999999</v>
      </c>
      <c r="EJ6" s="17">
        <v>278075.03116146935</v>
      </c>
      <c r="EK6" s="17">
        <v>422093.25051200658</v>
      </c>
      <c r="EL6" s="17">
        <v>387861.38685864961</v>
      </c>
      <c r="EM6" s="17">
        <f>SUM(EJ6:EL6)</f>
        <v>1088029.6685321254</v>
      </c>
      <c r="EN6" s="103"/>
      <c r="EO6" s="189"/>
      <c r="EQ6" s="283">
        <v>1</v>
      </c>
      <c r="ER6" s="286" t="s">
        <v>168</v>
      </c>
      <c r="ES6" s="17">
        <v>213728.13600000003</v>
      </c>
      <c r="ET6" s="17">
        <v>105449.12000000001</v>
      </c>
      <c r="EU6" s="17">
        <v>103689.106</v>
      </c>
      <c r="EV6" s="290">
        <f>SUM(ES6:EU6)</f>
        <v>422866.36200000008</v>
      </c>
      <c r="EW6" s="17">
        <v>198637.33426570735</v>
      </c>
      <c r="EX6" s="17">
        <v>103141.52581775701</v>
      </c>
      <c r="EY6" s="17">
        <v>104277.30279141104</v>
      </c>
      <c r="EZ6" s="290">
        <f>SUM(EW6:EY6)</f>
        <v>406056.16287487542</v>
      </c>
      <c r="FA6" s="17">
        <f t="shared" ref="FA6:FA7" si="0">(EZ6/$EZ$9)*$FA$9</f>
        <v>290034.66992797703</v>
      </c>
      <c r="FB6" s="17">
        <f>(EZ6/$EZ$9)*$FB$9</f>
        <v>116155.68924426479</v>
      </c>
      <c r="FC6" s="17">
        <f>SUM(FA6:FB6)</f>
        <v>406190.35917224182</v>
      </c>
      <c r="FD6" s="103"/>
      <c r="FE6" s="189"/>
      <c r="FG6" s="283">
        <v>1</v>
      </c>
      <c r="FH6" s="285" t="s">
        <v>169</v>
      </c>
      <c r="FI6" s="297"/>
      <c r="FJ6" s="298"/>
      <c r="FK6" s="298"/>
      <c r="FL6" s="298"/>
      <c r="FM6" s="299"/>
      <c r="FN6" s="298"/>
      <c r="FO6" s="298"/>
      <c r="FP6" s="298"/>
      <c r="FQ6" s="298"/>
      <c r="FR6" s="298"/>
      <c r="FS6" s="103"/>
      <c r="FT6" s="189"/>
      <c r="FV6" s="283">
        <v>1</v>
      </c>
      <c r="FW6" s="286" t="s">
        <v>170</v>
      </c>
      <c r="FX6" s="17">
        <v>27056.9</v>
      </c>
      <c r="FY6" s="17">
        <v>10937</v>
      </c>
      <c r="FZ6" s="17">
        <v>40000</v>
      </c>
      <c r="GA6" s="290">
        <v>77993.899999999994</v>
      </c>
      <c r="GB6" s="17">
        <v>0</v>
      </c>
      <c r="GC6" s="17">
        <v>0</v>
      </c>
      <c r="GD6" s="17">
        <v>0</v>
      </c>
      <c r="GE6" s="290">
        <f t="shared" ref="GE6:GE13" si="1">SUM(GB6:GD6)</f>
        <v>0</v>
      </c>
      <c r="GF6" s="300"/>
      <c r="GG6" s="301"/>
      <c r="GI6" s="283">
        <v>1</v>
      </c>
      <c r="GJ6" s="97" t="s">
        <v>171</v>
      </c>
      <c r="GK6" s="17">
        <v>0</v>
      </c>
      <c r="GL6" s="17">
        <v>0</v>
      </c>
      <c r="GM6" s="17">
        <v>0</v>
      </c>
      <c r="GN6" s="290">
        <f t="shared" ref="GN6:GN11" si="2">SUM(GK6:GM6)</f>
        <v>0</v>
      </c>
      <c r="GO6" s="17">
        <v>0</v>
      </c>
      <c r="GP6" s="17">
        <v>0</v>
      </c>
      <c r="GQ6" s="17">
        <v>0</v>
      </c>
      <c r="GR6" s="290">
        <f t="shared" ref="GR6:GR10" si="3">SUM(GO6:GQ6)</f>
        <v>0</v>
      </c>
      <c r="GS6" s="300"/>
      <c r="GT6" s="301"/>
      <c r="GV6" s="283">
        <v>1</v>
      </c>
      <c r="GW6" s="286" t="s">
        <v>172</v>
      </c>
      <c r="GX6" s="17">
        <v>1200</v>
      </c>
      <c r="GY6" s="17">
        <v>5864.05</v>
      </c>
      <c r="GZ6" s="17">
        <v>7336.6900000000005</v>
      </c>
      <c r="HA6" s="290">
        <f t="shared" ref="HA6:HA11" si="4">SUM(GX6:GZ6)</f>
        <v>14400.740000000002</v>
      </c>
      <c r="HB6" s="17">
        <v>1200</v>
      </c>
      <c r="HC6" s="17">
        <v>5864.05</v>
      </c>
      <c r="HD6" s="17">
        <v>7336.6899999999987</v>
      </c>
      <c r="HE6" s="17">
        <f>SUM(HB6:HD6)</f>
        <v>14400.739999999998</v>
      </c>
      <c r="HF6" s="300"/>
      <c r="HG6" s="301"/>
      <c r="HI6" s="283">
        <v>1</v>
      </c>
      <c r="HJ6" s="302" t="s">
        <v>173</v>
      </c>
      <c r="HK6" s="303">
        <v>290799436</v>
      </c>
      <c r="HL6" s="303">
        <v>621968266</v>
      </c>
      <c r="HM6" s="303">
        <v>1165621094</v>
      </c>
      <c r="HN6" s="304">
        <f>SUM(HK6:HM6)</f>
        <v>2078388796</v>
      </c>
      <c r="HO6" s="295">
        <v>294268079.81818181</v>
      </c>
      <c r="HP6" s="295">
        <v>623505438.20000005</v>
      </c>
      <c r="HQ6" s="295">
        <v>1165621094</v>
      </c>
      <c r="HR6" s="295">
        <f>SUM(HO6:HQ6)</f>
        <v>2083394612.0181818</v>
      </c>
      <c r="HS6" s="305"/>
      <c r="HW6" s="283">
        <v>1</v>
      </c>
      <c r="HX6" s="306">
        <v>1</v>
      </c>
      <c r="HY6" s="306">
        <v>10</v>
      </c>
      <c r="HZ6" s="306">
        <v>22</v>
      </c>
      <c r="IA6" s="307">
        <v>11526295</v>
      </c>
      <c r="IB6" s="308">
        <v>18846113</v>
      </c>
      <c r="IC6" s="309">
        <f t="shared" ref="IC6:IC26" si="5">HZ6/HY6</f>
        <v>2.2000000000000002</v>
      </c>
      <c r="ID6" s="309">
        <f t="shared" ref="ID6:ID26" si="6">IB6/IA6</f>
        <v>1.6350538486131059</v>
      </c>
      <c r="IE6" s="310">
        <v>1</v>
      </c>
      <c r="IF6" s="310">
        <v>0</v>
      </c>
      <c r="IG6" s="310">
        <v>0</v>
      </c>
      <c r="II6" s="141"/>
      <c r="IK6" s="311">
        <v>1</v>
      </c>
      <c r="IL6" s="312">
        <v>1</v>
      </c>
      <c r="IM6" s="313">
        <f t="shared" ref="IM6:IM26" si="7">ID6</f>
        <v>1.6350538486131059</v>
      </c>
      <c r="IN6" s="17">
        <v>0</v>
      </c>
      <c r="IO6" s="290">
        <f>IM6*IN6</f>
        <v>0</v>
      </c>
      <c r="IP6" s="17">
        <v>1254545</v>
      </c>
      <c r="IQ6" s="290">
        <v>1917604</v>
      </c>
      <c r="IR6" s="17">
        <v>513544.35600000009</v>
      </c>
      <c r="IS6" s="290">
        <v>776037</v>
      </c>
      <c r="IT6" s="17">
        <v>170395.60081036729</v>
      </c>
      <c r="IU6" s="17">
        <v>278605.98289173353</v>
      </c>
      <c r="IV6" s="17">
        <f>SUM(IN6,IR6,IT6)</f>
        <v>683939.95681036741</v>
      </c>
      <c r="IW6" s="17">
        <f>SUM(IO6,IS6,IU6)</f>
        <v>1054642.9828917335</v>
      </c>
      <c r="IX6" s="314"/>
      <c r="IY6" s="315"/>
      <c r="IZ6" s="314"/>
      <c r="JA6" s="316">
        <v>1</v>
      </c>
      <c r="JB6" s="317">
        <v>1</v>
      </c>
      <c r="JC6" s="318">
        <f t="shared" ref="JC6:JD25" si="8">IC6</f>
        <v>2.2000000000000002</v>
      </c>
      <c r="JD6" s="319">
        <f t="shared" si="8"/>
        <v>1.6350538486131059</v>
      </c>
      <c r="JE6" s="17">
        <v>218995.37041548945</v>
      </c>
      <c r="JF6" s="290">
        <f>JE6*$JD6</f>
        <v>358069.22322629875</v>
      </c>
      <c r="JG6" s="17">
        <v>18050.269800000002</v>
      </c>
      <c r="JH6" s="290">
        <f>JG6*$JD6</f>
        <v>29513.163104994921</v>
      </c>
      <c r="JI6" s="17">
        <v>186217.60978451057</v>
      </c>
      <c r="JJ6" s="290">
        <f>JI6*JC6</f>
        <v>409678.74152592331</v>
      </c>
      <c r="JK6" s="17">
        <v>324907.78929672181</v>
      </c>
      <c r="JL6" s="290">
        <v>816838.09085866832</v>
      </c>
      <c r="JM6" s="17">
        <v>4953.383799999996</v>
      </c>
      <c r="JN6" s="290">
        <f>JM6*$JD6</f>
        <v>8099.0492458478047</v>
      </c>
      <c r="JO6" s="17">
        <v>27255.312800000014</v>
      </c>
      <c r="JP6" s="290">
        <f>JO6*$JD6</f>
        <v>44563.904088794072</v>
      </c>
      <c r="JQ6" s="17">
        <v>24635.33</v>
      </c>
      <c r="JR6" s="290">
        <f>JQ6*$JD6</f>
        <v>40280.09112835391</v>
      </c>
      <c r="JS6" s="17">
        <v>108325.56174999999</v>
      </c>
      <c r="JT6" s="290">
        <f>JS6*$JD6</f>
        <v>177118.12664251414</v>
      </c>
      <c r="JU6" s="17">
        <f>JE6+JG6+JI6+JK6+JM6+JQ6+JS6+JO6</f>
        <v>913340.62764672167</v>
      </c>
      <c r="JV6" s="17">
        <f>JF6+JH6+JJ6+JL6+JN6+JR6+JT6+JP6</f>
        <v>1884160.389821395</v>
      </c>
      <c r="JW6" s="320">
        <f t="shared" ref="JW6:JW26" si="9">JV6/IB6*100</f>
        <v>9.9976074101932593</v>
      </c>
      <c r="KA6" s="283">
        <v>1</v>
      </c>
      <c r="KB6" s="306">
        <v>1</v>
      </c>
      <c r="KC6" s="97">
        <f t="shared" ref="KC6:KC25" si="10">HZ6</f>
        <v>22</v>
      </c>
      <c r="KD6" s="97">
        <f t="shared" ref="KD6:KD18" si="11">KC6</f>
        <v>22</v>
      </c>
      <c r="KE6" s="289">
        <f t="shared" ref="KE6:KE25" si="12">IB6</f>
        <v>18846113</v>
      </c>
      <c r="KF6" s="289">
        <f t="shared" ref="KF6:KF25" si="13">KE6*$KH$26</f>
        <v>19540205.457196321</v>
      </c>
      <c r="KG6" s="321">
        <f>KD6/KC6</f>
        <v>1</v>
      </c>
      <c r="KH6" s="321">
        <f>KF6/KE6</f>
        <v>1.036829475510219</v>
      </c>
      <c r="KI6" s="321">
        <f>LZ7/LY7</f>
        <v>0.98530925961235549</v>
      </c>
      <c r="KJ6" s="306" t="s">
        <v>256</v>
      </c>
      <c r="KK6" s="322"/>
      <c r="KL6" s="323"/>
      <c r="KM6" s="322"/>
      <c r="KN6" s="283">
        <v>1</v>
      </c>
      <c r="KO6" s="306">
        <v>1</v>
      </c>
      <c r="KP6" s="324" t="str">
        <f t="shared" ref="KP6:KP25" si="14">KJ6</f>
        <v>Q3</v>
      </c>
      <c r="KQ6" s="325">
        <f t="shared" ref="KQ6:KQ26" si="15">KI6</f>
        <v>0.98530925961235549</v>
      </c>
      <c r="KR6" s="17">
        <f>IO6</f>
        <v>0</v>
      </c>
      <c r="KS6" s="17">
        <f>KR6*KI6</f>
        <v>0</v>
      </c>
      <c r="KT6" s="17">
        <f t="shared" ref="KT6:KT26" si="16">IQ6</f>
        <v>1917604</v>
      </c>
      <c r="KU6" s="17">
        <f>IB6/$IB$26*$KU$26</f>
        <v>2139908.9411763279</v>
      </c>
      <c r="KV6" s="17">
        <f t="shared" ref="KV6:KV25" si="17">IS6</f>
        <v>776037</v>
      </c>
      <c r="KW6" s="17">
        <f t="shared" ref="KW6:KW25" si="18">IB6/$IB$26*$KW$26</f>
        <v>1174698.161752417</v>
      </c>
      <c r="KX6" s="17">
        <f>IU6</f>
        <v>278605.98289173353</v>
      </c>
      <c r="KY6" s="17">
        <f>IB6/$IB$26*$KY$26</f>
        <v>42455.619171788028</v>
      </c>
      <c r="KZ6" s="17">
        <f>SUM(KR6,KV6,KX6)</f>
        <v>1054642.9828917335</v>
      </c>
      <c r="LA6" s="17">
        <f>SUM(KS6,KW6,KY6)</f>
        <v>1217153.780924205</v>
      </c>
      <c r="LB6" s="326"/>
      <c r="LC6" s="323"/>
      <c r="LD6" s="322"/>
      <c r="LE6" s="327">
        <v>1</v>
      </c>
      <c r="LF6" s="328"/>
      <c r="LG6" s="328"/>
      <c r="LH6" s="329" t="s">
        <v>174</v>
      </c>
      <c r="LI6" s="330"/>
      <c r="LJ6" s="331">
        <v>93.896890289895666</v>
      </c>
      <c r="LK6" s="332"/>
      <c r="LL6" s="331">
        <v>93.896890289895666</v>
      </c>
      <c r="LM6" s="332"/>
      <c r="LN6" s="331">
        <v>93.896890289895666</v>
      </c>
      <c r="LO6" s="332"/>
      <c r="LP6" s="331">
        <v>124.073296295623</v>
      </c>
      <c r="LQ6" s="332"/>
      <c r="LR6" s="331">
        <v>124.918518433629</v>
      </c>
      <c r="LS6" s="332"/>
      <c r="LT6" s="331">
        <v>142.81445092884499</v>
      </c>
      <c r="LU6" s="332"/>
      <c r="LV6" s="331">
        <v>117.90757601671299</v>
      </c>
      <c r="LW6" s="332"/>
      <c r="LX6" s="331">
        <v>121.988107636154</v>
      </c>
      <c r="LY6" s="330"/>
      <c r="LZ6" s="333"/>
      <c r="MA6" s="334"/>
      <c r="MB6" s="335"/>
      <c r="MD6" s="283">
        <v>1</v>
      </c>
      <c r="ME6" s="336">
        <v>1</v>
      </c>
      <c r="MF6" s="17">
        <f t="shared" ref="MF6:MG25" si="19">IV6</f>
        <v>683939.95681036741</v>
      </c>
      <c r="MG6" s="17">
        <f t="shared" si="19"/>
        <v>1054642.9828917335</v>
      </c>
      <c r="MH6" s="290">
        <f t="shared" ref="MH6:MH25" si="20">LA6</f>
        <v>1217153.780924205</v>
      </c>
      <c r="MI6" s="17">
        <f t="shared" ref="MI6:MJ25" si="21">JU6</f>
        <v>913340.62764672167</v>
      </c>
      <c r="MJ6" s="17">
        <f t="shared" si="21"/>
        <v>1884160.389821395</v>
      </c>
      <c r="MK6" s="290">
        <f>LZ7</f>
        <v>1856480.6786858458</v>
      </c>
      <c r="ML6" s="17">
        <f>MF6-MI6</f>
        <v>-229400.67083635426</v>
      </c>
      <c r="MM6" s="17">
        <f>MG6-MJ6</f>
        <v>-829517.40692966152</v>
      </c>
      <c r="MN6" s="17">
        <f>MH6-MK6</f>
        <v>-639326.89776164084</v>
      </c>
      <c r="MP6" s="337"/>
      <c r="MQ6" s="98"/>
      <c r="MR6" s="283">
        <v>1</v>
      </c>
      <c r="MS6" s="285" t="s">
        <v>175</v>
      </c>
      <c r="MT6" s="265"/>
      <c r="MU6" s="98"/>
      <c r="MV6" s="337"/>
      <c r="MW6" s="98"/>
      <c r="MX6" s="338" t="s">
        <v>135</v>
      </c>
      <c r="MY6" s="338"/>
      <c r="MZ6" s="227" t="s">
        <v>136</v>
      </c>
      <c r="NA6" s="226" t="s">
        <v>137</v>
      </c>
      <c r="NB6" s="226"/>
      <c r="NC6" s="234" t="s">
        <v>138</v>
      </c>
      <c r="ND6" s="226" t="s">
        <v>139</v>
      </c>
      <c r="NF6" s="337"/>
      <c r="NG6" s="98"/>
      <c r="NH6" s="338" t="s">
        <v>135</v>
      </c>
      <c r="NI6" s="113"/>
      <c r="NJ6" s="96"/>
      <c r="NO6" s="337"/>
      <c r="NP6" s="98"/>
    </row>
    <row r="7" spans="2:387" x14ac:dyDescent="0.3">
      <c r="B7" s="226">
        <f>B6+1</f>
        <v>2</v>
      </c>
      <c r="C7" s="339"/>
      <c r="D7" s="518" t="s">
        <v>166</v>
      </c>
      <c r="E7" s="340"/>
      <c r="F7" s="15">
        <f>HN7-F10-F11</f>
        <v>326375296.65850008</v>
      </c>
      <c r="G7" s="341">
        <f t="shared" ref="G7:G12" si="22">F7/F$24*100</f>
        <v>15.703284067284784</v>
      </c>
      <c r="H7" s="15">
        <f>HR7-H10-H11</f>
        <v>322622284.32787216</v>
      </c>
      <c r="I7" s="342">
        <f t="shared" ref="I7:I12" si="23">H7/H$24*100</f>
        <v>15.485414163347016</v>
      </c>
      <c r="J7" s="343">
        <f>H7-F7</f>
        <v>-3753012.3306279182</v>
      </c>
      <c r="K7" s="15">
        <f>K8+K9</f>
        <v>324392392</v>
      </c>
      <c r="L7" s="342">
        <f t="shared" ref="L7:L12" si="24">K7/K$24*100</f>
        <v>15.355887069393029</v>
      </c>
      <c r="M7" s="343">
        <f>K7-H7</f>
        <v>1770107.6721278429</v>
      </c>
      <c r="N7" s="15">
        <f>N8+N9</f>
        <v>371540376.1521095</v>
      </c>
      <c r="O7" s="342">
        <f t="shared" ref="O7:O12" si="25">N7/N$24*100</f>
        <v>16.963010497456317</v>
      </c>
      <c r="P7" s="343">
        <f>N7-K7</f>
        <v>47147984.152109504</v>
      </c>
      <c r="Q7" s="15">
        <f>N7-F7</f>
        <v>45165079.493609428</v>
      </c>
      <c r="R7" s="344">
        <f>O7/G7-1</f>
        <v>8.0220572000984536E-2</v>
      </c>
      <c r="V7" s="249">
        <f>V6+1</f>
        <v>1</v>
      </c>
      <c r="W7" s="345" t="s">
        <v>176</v>
      </c>
      <c r="X7" s="20">
        <v>-230802.10374195941</v>
      </c>
      <c r="Y7" s="20">
        <v>1676841.6676000003</v>
      </c>
      <c r="Z7" s="20">
        <v>3899001.5918000019</v>
      </c>
      <c r="AA7" s="20">
        <f>SUM(X7:Z7)</f>
        <v>5345041.155658043</v>
      </c>
      <c r="AB7" s="20"/>
      <c r="AF7" s="249">
        <v>1</v>
      </c>
      <c r="AG7" s="346" t="s">
        <v>78</v>
      </c>
      <c r="AH7" s="105">
        <f>CM9</f>
        <v>1768304.2516944832</v>
      </c>
      <c r="AI7" s="105">
        <f>CZ9</f>
        <v>110734.90699999999</v>
      </c>
      <c r="AJ7" s="347">
        <f>DJ9</f>
        <v>530227.1121017714</v>
      </c>
      <c r="AN7" s="338">
        <v>2</v>
      </c>
      <c r="AO7" s="96"/>
      <c r="AQ7" s="518" t="s">
        <v>166</v>
      </c>
      <c r="AR7" s="340"/>
      <c r="AS7" s="348">
        <v>120302111.8284</v>
      </c>
      <c r="AT7" s="349">
        <v>11.731293175407233</v>
      </c>
      <c r="AU7" s="350"/>
      <c r="AV7" s="348">
        <v>126126278.56186666</v>
      </c>
      <c r="AW7" s="349">
        <v>11.687249674641077</v>
      </c>
      <c r="AX7" s="351">
        <f>AW7/AT7-1</f>
        <v>-3.754360248918287E-3</v>
      </c>
      <c r="AY7" s="350"/>
      <c r="AZ7" s="348">
        <v>150728360.25</v>
      </c>
      <c r="BA7" s="349">
        <v>11.683129983994691</v>
      </c>
      <c r="BB7" s="351">
        <f>BA7/AW7-1</f>
        <v>-3.5249445002660806E-4</v>
      </c>
      <c r="BC7" s="350"/>
      <c r="BD7" s="348">
        <v>171227908</v>
      </c>
      <c r="BE7" s="349">
        <v>11.643318740549148</v>
      </c>
      <c r="BF7" s="351">
        <f>BE7/BA7-1</f>
        <v>-3.407583712590978E-3</v>
      </c>
      <c r="BG7" s="350"/>
      <c r="BH7" s="348">
        <v>176109569.11769998</v>
      </c>
      <c r="BI7" s="349">
        <v>11.588889837145976</v>
      </c>
      <c r="BJ7" s="351">
        <f>BI7/BE7-1</f>
        <v>-4.6746898041721829E-3</v>
      </c>
      <c r="BK7" s="350"/>
      <c r="BL7" s="348">
        <v>240705114.20000002</v>
      </c>
      <c r="BM7" s="349">
        <v>14.309535452395124</v>
      </c>
      <c r="BN7" s="351">
        <f>BM7/BI7-1</f>
        <v>0.23476326494438138</v>
      </c>
      <c r="BO7" s="350"/>
      <c r="BP7" s="348">
        <v>290609169.1400001</v>
      </c>
      <c r="BQ7" s="349">
        <v>15.66802926667919</v>
      </c>
      <c r="BR7" s="351">
        <f>BQ7/BM7-1</f>
        <v>9.4936262522532289E-2</v>
      </c>
      <c r="BS7" s="350"/>
      <c r="BT7" s="518">
        <v>313797305.58539999</v>
      </c>
      <c r="BU7" s="518">
        <v>15.993295780429609</v>
      </c>
      <c r="BV7" s="518">
        <f>BU7/BQ7-1</f>
        <v>2.0759886786920534E-2</v>
      </c>
      <c r="BW7" s="15">
        <v>311488574.40979999</v>
      </c>
      <c r="BX7" s="16">
        <v>16.091667659507319</v>
      </c>
      <c r="BY7" s="16">
        <f>BX7/BU7-1</f>
        <v>6.15081972022824E-3</v>
      </c>
      <c r="BZ7" s="16">
        <v>328676461.76159996</v>
      </c>
      <c r="CA7" s="16">
        <v>16.112403825565277</v>
      </c>
      <c r="CB7" s="16">
        <f>CA7/BX7-1</f>
        <v>1.2886275367305355E-3</v>
      </c>
      <c r="CC7" s="15">
        <f t="shared" ref="CC7:CD10" si="26">F7</f>
        <v>326375296.65850008</v>
      </c>
      <c r="CD7" s="16">
        <f t="shared" si="26"/>
        <v>15.703284067284784</v>
      </c>
      <c r="CE7" s="352">
        <f>CD7/CA7-1</f>
        <v>-2.5391602811701497E-2</v>
      </c>
      <c r="CF7" s="353">
        <f>CC7/AS7-1</f>
        <v>1.712963984572812</v>
      </c>
      <c r="CG7" s="352">
        <f>(CF7+1)^(1/(2022-2004))-1</f>
        <v>5.701274482339147E-2</v>
      </c>
      <c r="CK7" s="338">
        <v>2</v>
      </c>
      <c r="CL7" s="354" t="s">
        <v>70</v>
      </c>
      <c r="CM7" s="355">
        <v>540922.95217162615</v>
      </c>
      <c r="CN7" s="20">
        <v>9819424.8602000009</v>
      </c>
      <c r="CO7" s="20">
        <v>1620681.3805000002</v>
      </c>
      <c r="CP7" s="343">
        <f>CO7+CN7</f>
        <v>11440106.240700001</v>
      </c>
      <c r="CQ7" s="355">
        <v>541980.73717162607</v>
      </c>
      <c r="CR7" s="20">
        <v>9837708.0032399986</v>
      </c>
      <c r="CS7" s="20">
        <v>1210007.2553475637</v>
      </c>
      <c r="CT7" s="20">
        <f>CS7+CR7</f>
        <v>11047715.258587562</v>
      </c>
      <c r="CU7" s="291"/>
      <c r="CV7" s="106"/>
      <c r="CX7" s="338">
        <v>2</v>
      </c>
      <c r="CY7" s="356" t="s">
        <v>70</v>
      </c>
      <c r="CZ7" s="105">
        <v>22837.065999999999</v>
      </c>
      <c r="DA7" s="357">
        <v>462836.85349999991</v>
      </c>
      <c r="DB7" s="105">
        <v>22840.665999999997</v>
      </c>
      <c r="DC7" s="20">
        <v>462892.65350000001</v>
      </c>
      <c r="DD7" s="20">
        <v>462892.6534999999</v>
      </c>
      <c r="DF7" s="106"/>
      <c r="DH7" s="338">
        <v>2</v>
      </c>
      <c r="DI7" s="356" t="s">
        <v>70</v>
      </c>
      <c r="DJ7" s="105">
        <v>171122.55001421802</v>
      </c>
      <c r="DK7" s="357">
        <v>5190526.0488</v>
      </c>
      <c r="DL7" s="105">
        <v>172014.32501421802</v>
      </c>
      <c r="DM7" s="358">
        <v>5622503.1129124369</v>
      </c>
      <c r="DQ7" s="338">
        <v>2</v>
      </c>
      <c r="DR7" s="359" t="s">
        <v>177</v>
      </c>
      <c r="DS7" s="20">
        <v>403477.63</v>
      </c>
      <c r="DT7" s="20">
        <v>460799.89</v>
      </c>
      <c r="DU7" s="20">
        <v>254199.13</v>
      </c>
      <c r="DV7" s="20">
        <v>1118476.6499999999</v>
      </c>
      <c r="DW7" s="15"/>
      <c r="DX7" s="20"/>
      <c r="DY7" s="20"/>
      <c r="DZ7" s="20"/>
      <c r="ED7" s="338">
        <v>2</v>
      </c>
      <c r="EE7" s="340" t="s">
        <v>178</v>
      </c>
      <c r="EF7" s="20">
        <v>65167.883999999998</v>
      </c>
      <c r="EG7" s="20">
        <v>886859.10999999987</v>
      </c>
      <c r="EH7" s="20">
        <v>2058497.3399999999</v>
      </c>
      <c r="EI7" s="343">
        <f>SUM(EF7:EH7)</f>
        <v>3010524.3339999998</v>
      </c>
      <c r="EJ7" s="20">
        <v>65167.884000000005</v>
      </c>
      <c r="EK7" s="20">
        <v>886859.1100000001</v>
      </c>
      <c r="EL7" s="20">
        <v>2058497.3400000003</v>
      </c>
      <c r="EM7" s="20">
        <f>SUM(EJ7:EL7)</f>
        <v>3010524.3340000003</v>
      </c>
      <c r="EN7" s="103"/>
      <c r="EO7" s="106"/>
      <c r="EQ7" s="338">
        <v>2</v>
      </c>
      <c r="ER7" s="340" t="s">
        <v>178</v>
      </c>
      <c r="ES7" s="20">
        <v>74943.56</v>
      </c>
      <c r="ET7" s="20">
        <v>93660.9</v>
      </c>
      <c r="EU7" s="20">
        <v>304468.08999999997</v>
      </c>
      <c r="EV7" s="343">
        <f>SUM(ES7:EU7)</f>
        <v>473072.54999999993</v>
      </c>
      <c r="EW7" s="20">
        <v>72151.375681818186</v>
      </c>
      <c r="EX7" s="20">
        <v>91744.566666666666</v>
      </c>
      <c r="EY7" s="20">
        <v>283929.38066666666</v>
      </c>
      <c r="EZ7" s="343">
        <f>SUM(EW7:EY7)</f>
        <v>447825.32301515155</v>
      </c>
      <c r="FA7" s="20">
        <f t="shared" si="0"/>
        <v>319869.22406621045</v>
      </c>
      <c r="FB7" s="20">
        <f>(EZ7/$EZ$9)*$FB$9</f>
        <v>128104.0994122023</v>
      </c>
      <c r="FC7" s="20">
        <f t="shared" ref="FC7:FC9" si="27">SUM(FA7:FB7)</f>
        <v>447973.32347841276</v>
      </c>
      <c r="FD7" s="103"/>
      <c r="FE7" s="106"/>
      <c r="FG7" s="338">
        <v>2</v>
      </c>
      <c r="FH7" s="360"/>
      <c r="FI7" s="361" t="s">
        <v>179</v>
      </c>
      <c r="FJ7" s="20">
        <v>182933.261</v>
      </c>
      <c r="FK7" s="20">
        <v>225954.03999999998</v>
      </c>
      <c r="FL7" s="20">
        <v>498555.36999999994</v>
      </c>
      <c r="FM7" s="343">
        <f t="shared" ref="FM7:FM20" si="28">FJ7+FL7+FK7</f>
        <v>907442.67099999986</v>
      </c>
      <c r="FN7" s="20">
        <v>185562.03433333334</v>
      </c>
      <c r="FO7" s="20">
        <v>226230.83999999997</v>
      </c>
      <c r="FP7" s="20">
        <v>498555.36999999994</v>
      </c>
      <c r="FQ7" s="20">
        <v>910348.24433333334</v>
      </c>
      <c r="FR7" s="20">
        <v>910348.24433333334</v>
      </c>
      <c r="FS7" s="300"/>
      <c r="FT7" s="95"/>
      <c r="FV7" s="338">
        <v>2</v>
      </c>
      <c r="FW7" s="340" t="s">
        <v>180</v>
      </c>
      <c r="FX7" s="20">
        <v>14732.02</v>
      </c>
      <c r="FY7" s="20">
        <v>2654</v>
      </c>
      <c r="FZ7" s="20">
        <v>0</v>
      </c>
      <c r="GA7" s="343">
        <v>17386.02</v>
      </c>
      <c r="GB7" s="20">
        <v>0</v>
      </c>
      <c r="GC7" s="20">
        <v>0</v>
      </c>
      <c r="GD7" s="20">
        <v>0</v>
      </c>
      <c r="GE7" s="343">
        <f t="shared" si="1"/>
        <v>0</v>
      </c>
      <c r="GF7" s="300"/>
      <c r="GG7" s="301"/>
      <c r="GI7" s="338">
        <v>2</v>
      </c>
      <c r="GJ7" s="362" t="s">
        <v>181</v>
      </c>
      <c r="GK7" s="20">
        <v>0</v>
      </c>
      <c r="GL7" s="20">
        <v>0</v>
      </c>
      <c r="GM7" s="20">
        <v>0</v>
      </c>
      <c r="GN7" s="343">
        <f t="shared" si="2"/>
        <v>0</v>
      </c>
      <c r="GO7" s="20">
        <v>0</v>
      </c>
      <c r="GP7" s="20">
        <v>0</v>
      </c>
      <c r="GQ7" s="20">
        <v>0</v>
      </c>
      <c r="GR7" s="343">
        <f t="shared" si="3"/>
        <v>0</v>
      </c>
      <c r="GS7" s="300"/>
      <c r="GT7" s="301"/>
      <c r="GV7" s="338">
        <v>2</v>
      </c>
      <c r="GW7" s="340" t="s">
        <v>182</v>
      </c>
      <c r="GX7" s="20">
        <v>27580.2</v>
      </c>
      <c r="GY7" s="20">
        <v>47921.2</v>
      </c>
      <c r="GZ7" s="20">
        <v>186977.88999999998</v>
      </c>
      <c r="HA7" s="343">
        <f t="shared" si="4"/>
        <v>262479.28999999998</v>
      </c>
      <c r="HB7" s="20">
        <v>0</v>
      </c>
      <c r="HC7" s="20">
        <v>0</v>
      </c>
      <c r="HD7" s="20">
        <v>0</v>
      </c>
      <c r="HE7" s="20">
        <v>0</v>
      </c>
      <c r="HF7" s="300"/>
      <c r="HG7" s="301"/>
      <c r="HI7" s="338">
        <v>2</v>
      </c>
      <c r="HJ7" s="363" t="s">
        <v>166</v>
      </c>
      <c r="HK7" s="20">
        <v>47236332.827358045</v>
      </c>
      <c r="HL7" s="20">
        <v>99374623.267200008</v>
      </c>
      <c r="HM7" s="20">
        <v>186734914.08160001</v>
      </c>
      <c r="HN7" s="343">
        <f>SUM(HK7:HM7)</f>
        <v>333345870.17615807</v>
      </c>
      <c r="HO7" s="20">
        <v>45358766.83995606</v>
      </c>
      <c r="HP7" s="20">
        <v>97716155.907619998</v>
      </c>
      <c r="HQ7" s="20">
        <v>184313460.52160001</v>
      </c>
      <c r="HR7" s="20">
        <f>SUM(HO7:HQ7)</f>
        <v>327388383.26917607</v>
      </c>
      <c r="HW7" s="338">
        <v>2</v>
      </c>
      <c r="HX7" s="322">
        <v>2</v>
      </c>
      <c r="HY7" s="322">
        <v>10</v>
      </c>
      <c r="HZ7" s="322">
        <v>9</v>
      </c>
      <c r="IA7" s="347">
        <v>15226542</v>
      </c>
      <c r="IB7" s="347">
        <v>13620382</v>
      </c>
      <c r="IC7" s="342">
        <f t="shared" si="5"/>
        <v>0.9</v>
      </c>
      <c r="ID7" s="342">
        <f t="shared" si="6"/>
        <v>0.89451577383755287</v>
      </c>
      <c r="IE7" s="344">
        <v>1</v>
      </c>
      <c r="IF7" s="344">
        <v>0</v>
      </c>
      <c r="IG7" s="344">
        <v>0</v>
      </c>
      <c r="II7" s="208"/>
      <c r="IK7" s="364">
        <v>2</v>
      </c>
      <c r="IL7" s="365">
        <v>2</v>
      </c>
      <c r="IM7" s="341">
        <f t="shared" si="7"/>
        <v>0.89451577383755287</v>
      </c>
      <c r="IN7" s="20">
        <v>0</v>
      </c>
      <c r="IO7" s="343">
        <f t="shared" ref="IO7:IO25" si="29">IM7*IN7</f>
        <v>0</v>
      </c>
      <c r="IP7" s="20">
        <v>1675007</v>
      </c>
      <c r="IQ7" s="343">
        <v>1500074</v>
      </c>
      <c r="IR7" s="20">
        <v>691463.46779999998</v>
      </c>
      <c r="IS7" s="343">
        <v>617536</v>
      </c>
      <c r="IT7" s="20">
        <v>217265.44049354317</v>
      </c>
      <c r="IU7" s="20">
        <v>194385.98130609185</v>
      </c>
      <c r="IV7" s="20">
        <f t="shared" ref="IV7:IW25" si="30">SUM(IN7,IR7,IT7)</f>
        <v>908728.90829354315</v>
      </c>
      <c r="IW7" s="20">
        <f t="shared" si="30"/>
        <v>811921.98130609188</v>
      </c>
      <c r="IX7" s="314"/>
      <c r="IY7" s="315"/>
      <c r="IZ7" s="314"/>
      <c r="JA7" s="366">
        <v>2</v>
      </c>
      <c r="JB7" s="365">
        <v>2</v>
      </c>
      <c r="JC7" s="367">
        <f t="shared" si="8"/>
        <v>0.9</v>
      </c>
      <c r="JD7" s="368">
        <f t="shared" si="8"/>
        <v>0.89451577383755287</v>
      </c>
      <c r="JE7" s="20">
        <v>384379.79883572698</v>
      </c>
      <c r="JF7" s="343">
        <f>JE7*$JD7</f>
        <v>343833.79320306325</v>
      </c>
      <c r="JG7" s="20">
        <v>15229.213</v>
      </c>
      <c r="JH7" s="343">
        <f t="shared" ref="JH7:JH25" si="31">JG7*$JD7</f>
        <v>13622.771251631921</v>
      </c>
      <c r="JI7" s="20">
        <v>130114.52976427312</v>
      </c>
      <c r="JJ7" s="343">
        <f t="shared" ref="JJ7:JJ25" si="32">JI7*JC7</f>
        <v>117103.07678784581</v>
      </c>
      <c r="JK7" s="20">
        <v>338384.66274016834</v>
      </c>
      <c r="JL7" s="343">
        <v>313094.17698303401</v>
      </c>
      <c r="JM7" s="20">
        <v>63787.200800000013</v>
      </c>
      <c r="JN7" s="343">
        <f t="shared" ref="JN7:JN24" si="33">JM7*$JD7</f>
        <v>57058.657284543384</v>
      </c>
      <c r="JO7" s="20">
        <v>16205.010000000002</v>
      </c>
      <c r="JP7" s="343">
        <f t="shared" ref="JP7:JP25" si="34">JO7*$JD7</f>
        <v>14495.637060195284</v>
      </c>
      <c r="JQ7" s="20">
        <v>44486.950000000004</v>
      </c>
      <c r="JR7" s="343">
        <f t="shared" ref="JR7:JR25" si="35">JQ7*$JD7</f>
        <v>39794.278504922528</v>
      </c>
      <c r="JS7" s="20">
        <v>145665.37959999999</v>
      </c>
      <c r="JT7" s="343">
        <f t="shared" ref="JT7:JT25" si="36">JS7*$JD7</f>
        <v>130299.97975423488</v>
      </c>
      <c r="JU7" s="20">
        <f t="shared" ref="JU7:JV26" si="37">JE7+JG7+JI7+JK7+JM7+JQ7+JS7+JO7</f>
        <v>1138252.7447401683</v>
      </c>
      <c r="JV7" s="20">
        <f t="shared" si="37"/>
        <v>1029302.370829471</v>
      </c>
      <c r="JW7" s="369">
        <f t="shared" si="9"/>
        <v>7.5570741762563713</v>
      </c>
      <c r="KA7" s="338">
        <v>2</v>
      </c>
      <c r="KB7" s="322">
        <v>2</v>
      </c>
      <c r="KC7" s="518">
        <f t="shared" si="10"/>
        <v>9</v>
      </c>
      <c r="KD7" s="518">
        <f t="shared" si="11"/>
        <v>9</v>
      </c>
      <c r="KE7" s="370">
        <f t="shared" si="12"/>
        <v>13620382</v>
      </c>
      <c r="KF7" s="370">
        <f t="shared" si="13"/>
        <v>14122013.525308827</v>
      </c>
      <c r="KG7" s="371">
        <f t="shared" ref="KG7:KG26" si="38">KD7/KC7</f>
        <v>1</v>
      </c>
      <c r="KH7" s="371">
        <f t="shared" ref="KH7:KH26" si="39">KF7/KE7</f>
        <v>1.036829475510219</v>
      </c>
      <c r="KI7" s="371">
        <f t="shared" ref="KI7:KI25" si="40">LZ8/LY8</f>
        <v>0.98853952289075397</v>
      </c>
      <c r="KJ7" s="322" t="s">
        <v>256</v>
      </c>
      <c r="KK7" s="322"/>
      <c r="KL7" s="323"/>
      <c r="KM7" s="322"/>
      <c r="KN7" s="338">
        <v>2</v>
      </c>
      <c r="KO7" s="322">
        <v>2</v>
      </c>
      <c r="KP7" s="372" t="str">
        <f t="shared" si="14"/>
        <v>Q3</v>
      </c>
      <c r="KQ7" s="373">
        <f t="shared" si="15"/>
        <v>0.98853952289075397</v>
      </c>
      <c r="KR7" s="358">
        <f t="shared" ref="KR7:KR25" si="41">IO7</f>
        <v>0</v>
      </c>
      <c r="KS7" s="358">
        <f t="shared" ref="KS7:KS25" si="42">KR7*KI7</f>
        <v>0</v>
      </c>
      <c r="KT7" s="358">
        <f t="shared" si="16"/>
        <v>1500074</v>
      </c>
      <c r="KU7" s="358">
        <f t="shared" ref="KU7:KU25" si="43">IB7/$IB$26*$KU$26</f>
        <v>1546545.8168502497</v>
      </c>
      <c r="KV7" s="358">
        <f t="shared" si="17"/>
        <v>617536</v>
      </c>
      <c r="KW7" s="358">
        <f t="shared" si="18"/>
        <v>848972.8199000879</v>
      </c>
      <c r="KX7" s="358">
        <f t="shared" ref="KX7:KX25" si="44">IU7</f>
        <v>194385.98130609185</v>
      </c>
      <c r="KY7" s="358">
        <f t="shared" ref="KY7:KY25" si="45">IB7/$IB$26*$KY$26</f>
        <v>30683.343093946034</v>
      </c>
      <c r="KZ7" s="358">
        <f t="shared" ref="KZ7:LA25" si="46">SUM(KR7,KV7,KX7)</f>
        <v>811921.98130609188</v>
      </c>
      <c r="LA7" s="358">
        <f t="shared" si="46"/>
        <v>879656.16299403389</v>
      </c>
      <c r="LB7" s="326"/>
      <c r="LC7" s="323"/>
      <c r="LD7" s="322"/>
      <c r="LE7" s="374">
        <f>LE6+1</f>
        <v>2</v>
      </c>
      <c r="LF7" s="375">
        <v>1</v>
      </c>
      <c r="LG7" s="376">
        <f>KG6</f>
        <v>1</v>
      </c>
      <c r="LH7" s="376">
        <f>KH6</f>
        <v>1.036829475510219</v>
      </c>
      <c r="LI7" s="377">
        <v>106.45762205358784</v>
      </c>
      <c r="LJ7" s="290">
        <f>JF6*LJ$6/LI7*LH7</f>
        <v>327452.85209447349</v>
      </c>
      <c r="LK7" s="377">
        <v>106.45762205358784</v>
      </c>
      <c r="LL7" s="290">
        <f t="shared" ref="LL7:LL26" si="47">JH6*LL$6/LK7*LH7</f>
        <v>26989.667936225407</v>
      </c>
      <c r="LM7" s="377">
        <v>106.45762205358784</v>
      </c>
      <c r="LN7" s="290">
        <f t="shared" ref="LN7:LN26" si="48">JJ6*LN$6/LM7*LG7</f>
        <v>361341.52825430036</v>
      </c>
      <c r="LO7" s="377">
        <v>118.614283549666</v>
      </c>
      <c r="LP7" s="290">
        <f>JL6*LP$6/LO7*LG7</f>
        <v>854431.6202038381</v>
      </c>
      <c r="LQ7" s="377">
        <v>119.48337591187899</v>
      </c>
      <c r="LR7" s="290">
        <f t="shared" ref="LR7:LR26" si="49">JN6*LR$6/LQ7*LH7</f>
        <v>8779.3166778442119</v>
      </c>
      <c r="LS7" s="377">
        <v>157.07111615098</v>
      </c>
      <c r="LT7" s="290">
        <f t="shared" ref="LT7:LT26" si="50">JP6*LT$6/LS7*LH7</f>
        <v>42011.326116443262</v>
      </c>
      <c r="LU7" s="377">
        <v>112.15574935818501</v>
      </c>
      <c r="LV7" s="290">
        <f t="shared" ref="LV7:LV26" si="51">JR6*LV$6/LU7*$LH7</f>
        <v>43905.4011112636</v>
      </c>
      <c r="LW7" s="377">
        <v>116.939890710382</v>
      </c>
      <c r="LX7" s="378">
        <f t="shared" ref="LX7:LX26" si="52">JT6*LX$6/LW7*$LH7</f>
        <v>191568.96629145771</v>
      </c>
      <c r="LY7" s="379">
        <f t="shared" ref="LY7:LY26" si="53">JV6</f>
        <v>1884160.389821395</v>
      </c>
      <c r="LZ7" s="379">
        <f>LJ7+LL7+LN7+LP7+LR7+LV7+LX7+LT7</f>
        <v>1856480.6786858458</v>
      </c>
      <c r="MA7" s="103"/>
      <c r="MB7" s="335"/>
      <c r="MD7" s="338">
        <v>2</v>
      </c>
      <c r="ME7" s="380">
        <v>2</v>
      </c>
      <c r="MF7" s="20">
        <f t="shared" si="19"/>
        <v>908728.90829354315</v>
      </c>
      <c r="MG7" s="20">
        <f t="shared" si="19"/>
        <v>811921.98130609188</v>
      </c>
      <c r="MH7" s="343">
        <f t="shared" si="20"/>
        <v>879656.16299403389</v>
      </c>
      <c r="MI7" s="20">
        <f t="shared" si="21"/>
        <v>1138252.7447401683</v>
      </c>
      <c r="MJ7" s="20">
        <f t="shared" si="21"/>
        <v>1029302.370829471</v>
      </c>
      <c r="MK7" s="343">
        <f t="shared" ref="MK7:MK25" si="54">LZ8</f>
        <v>1017506.0745700873</v>
      </c>
      <c r="ML7" s="15">
        <f t="shared" ref="ML7:MN26" si="55">MF7-MI7</f>
        <v>-229523.83644662518</v>
      </c>
      <c r="MM7" s="20">
        <f t="shared" si="55"/>
        <v>-217380.38952337916</v>
      </c>
      <c r="MN7" s="20">
        <f t="shared" si="55"/>
        <v>-137849.91157605336</v>
      </c>
      <c r="MP7" s="337"/>
      <c r="MQ7" s="98"/>
      <c r="MR7" s="338">
        <f>MR6+1</f>
        <v>2</v>
      </c>
      <c r="MS7" s="346" t="s">
        <v>183</v>
      </c>
      <c r="MT7" s="20">
        <v>93608877.605802789</v>
      </c>
      <c r="MU7" s="98"/>
      <c r="MV7" s="337"/>
      <c r="MW7" s="98"/>
      <c r="MX7" s="283">
        <v>1</v>
      </c>
      <c r="MY7" s="285" t="s">
        <v>166</v>
      </c>
      <c r="MZ7" s="17">
        <f>N7</f>
        <v>371540376.1521095</v>
      </c>
      <c r="NA7" s="381">
        <f t="shared" ref="NA7:NA12" si="56">MZ7/$MZ$34*100</f>
        <v>16.963010497456317</v>
      </c>
      <c r="NB7" s="97"/>
      <c r="NC7" s="18">
        <f>NC8+NC9</f>
        <v>347952521.71223098</v>
      </c>
      <c r="ND7" s="381">
        <f t="shared" ref="ND7:ND12" si="57">NC7/$ND$34*100</f>
        <v>15.886085758831625</v>
      </c>
      <c r="NF7" s="337"/>
      <c r="NG7" s="98"/>
      <c r="NH7" s="283">
        <v>1</v>
      </c>
      <c r="NI7" s="285" t="str">
        <f t="shared" ref="NI7:NI21" si="58">MY7</f>
        <v>Revenue</v>
      </c>
      <c r="NJ7" s="17">
        <v>341824682.26215607</v>
      </c>
      <c r="NK7" s="17">
        <f>MZ7</f>
        <v>371540376.1521095</v>
      </c>
      <c r="NL7" s="17">
        <f>NK7-NJ7</f>
        <v>29715693.889953434</v>
      </c>
      <c r="NM7" s="383">
        <f>NL7/NJ7</f>
        <v>8.693255762953811E-2</v>
      </c>
      <c r="NO7" s="337"/>
      <c r="NP7" s="98"/>
    </row>
    <row r="8" spans="2:387" x14ac:dyDescent="0.3">
      <c r="B8" s="265">
        <f>B7+1</f>
        <v>3</v>
      </c>
      <c r="C8" s="384"/>
      <c r="D8" s="97"/>
      <c r="E8" s="286" t="s">
        <v>184</v>
      </c>
      <c r="F8" s="18">
        <f>HN8</f>
        <v>228950330.75</v>
      </c>
      <c r="G8" s="313">
        <f t="shared" si="22"/>
        <v>11.015760438596976</v>
      </c>
      <c r="H8" s="18">
        <f>HR8</f>
        <v>229512596.2469697</v>
      </c>
      <c r="I8" s="309">
        <f t="shared" si="23"/>
        <v>11.016280589525049</v>
      </c>
      <c r="J8" s="290">
        <f t="shared" ref="J8:J22" si="59">H8-F8</f>
        <v>562265.49696969986</v>
      </c>
      <c r="K8" s="18">
        <f>IQ26</f>
        <v>229425276</v>
      </c>
      <c r="L8" s="309">
        <f t="shared" si="24"/>
        <v>10.860392278004865</v>
      </c>
      <c r="M8" s="290">
        <f t="shared" ref="M8:M22" si="60">K8-H8</f>
        <v>-87320.24696969986</v>
      </c>
      <c r="N8" s="18">
        <f>KU26</f>
        <v>239866309.41368827</v>
      </c>
      <c r="O8" s="309">
        <f t="shared" si="25"/>
        <v>10.951312389544174</v>
      </c>
      <c r="P8" s="290">
        <f t="shared" ref="P8:P22" si="61">N8-K8</f>
        <v>10441033.413688272</v>
      </c>
      <c r="Q8" s="18">
        <f t="shared" ref="Q8:Q22" si="62">N8-F8</f>
        <v>10915978.663688272</v>
      </c>
      <c r="R8" s="310">
        <f t="shared" ref="R8:R22" si="63">O8/G8-1</f>
        <v>-5.8505311015105699E-3</v>
      </c>
      <c r="V8" s="385">
        <f t="shared" ref="V8:V20" si="64">V7+1</f>
        <v>2</v>
      </c>
      <c r="W8" s="386" t="s">
        <v>185</v>
      </c>
      <c r="X8" s="387">
        <f>X7/F$24*100</f>
        <v>-1.1104857002027421E-2</v>
      </c>
      <c r="Y8" s="309">
        <f>Y7/F$24*100</f>
        <v>8.0679883899836047E-2</v>
      </c>
      <c r="Z8" s="309">
        <f>Z7/F$24*100</f>
        <v>0.18759731573341304</v>
      </c>
      <c r="AA8" s="309">
        <f>AA7/F$24*100</f>
        <v>0.25717234263122168</v>
      </c>
      <c r="AB8" s="342"/>
      <c r="AC8" s="348"/>
      <c r="AF8" s="385">
        <f>AF7+1</f>
        <v>2</v>
      </c>
      <c r="AG8" s="388" t="s">
        <v>186</v>
      </c>
      <c r="AH8" s="389">
        <f>AH7*3600/F$24</f>
        <v>3.0628991641755077</v>
      </c>
      <c r="AI8" s="389">
        <f>AI7*3600/F$24</f>
        <v>0.19180514539301818</v>
      </c>
      <c r="AJ8" s="389">
        <f>AJ7*3600/F$24</f>
        <v>0.91841218892250864</v>
      </c>
      <c r="AN8" s="283">
        <v>3</v>
      </c>
      <c r="AO8" s="390"/>
      <c r="AP8" s="97"/>
      <c r="AQ8" s="391" t="s">
        <v>184</v>
      </c>
      <c r="AR8" s="286"/>
      <c r="AS8" s="392">
        <v>79503570.349999994</v>
      </c>
      <c r="AT8" s="393">
        <v>7.7528122997362363</v>
      </c>
      <c r="AU8" s="394"/>
      <c r="AV8" s="392">
        <v>82983136.416666657</v>
      </c>
      <c r="AW8" s="393">
        <v>7.689473162491363</v>
      </c>
      <c r="AX8" s="383">
        <f>AW8/AT8-1</f>
        <v>-8.1698272570107644E-3</v>
      </c>
      <c r="AY8" s="394"/>
      <c r="AZ8" s="392">
        <v>98672863.5</v>
      </c>
      <c r="BA8" s="393">
        <v>7.6482480685877787</v>
      </c>
      <c r="BB8" s="383">
        <f>BA8/AW8-1</f>
        <v>-5.3612377639442599E-3</v>
      </c>
      <c r="BC8" s="394"/>
      <c r="BD8" s="392">
        <v>111397202</v>
      </c>
      <c r="BE8" s="393">
        <v>7.5748932801967008</v>
      </c>
      <c r="BF8" s="383">
        <f>BE8/BA8-1</f>
        <v>-9.5910576818701854E-3</v>
      </c>
      <c r="BG8" s="394"/>
      <c r="BH8" s="392">
        <v>116322907.89166664</v>
      </c>
      <c r="BI8" s="393">
        <v>7.6546287169214136</v>
      </c>
      <c r="BJ8" s="383">
        <f>BI8/BE8-1</f>
        <v>1.0526278559351843E-2</v>
      </c>
      <c r="BK8" s="394"/>
      <c r="BL8" s="392">
        <v>174683793.20000002</v>
      </c>
      <c r="BM8" s="393">
        <v>10.384673130282241</v>
      </c>
      <c r="BN8" s="383">
        <f>BM8/BI8-1</f>
        <v>0.35665275408143038</v>
      </c>
      <c r="BO8" s="394"/>
      <c r="BP8" s="392">
        <v>208646041.65000004</v>
      </c>
      <c r="BQ8" s="393">
        <v>11.249033527135891</v>
      </c>
      <c r="BR8" s="383">
        <f>BQ8/BM8-1</f>
        <v>8.3234242042065976E-2</v>
      </c>
      <c r="BS8" s="394"/>
      <c r="BT8" s="97">
        <v>219246568.60000002</v>
      </c>
      <c r="BU8" s="97">
        <v>11.174331831570692</v>
      </c>
      <c r="BV8" s="97">
        <f>BU8/BQ8-1</f>
        <v>-6.6407212126265991E-3</v>
      </c>
      <c r="BW8" s="18">
        <v>215103150.44999999</v>
      </c>
      <c r="BX8" s="19">
        <v>11.112344701929782</v>
      </c>
      <c r="BY8" s="19">
        <f t="shared" ref="BY8:BY20" si="65">BX8/BU8-1</f>
        <v>-5.5472784033295808E-3</v>
      </c>
      <c r="BZ8" s="19">
        <v>224292117.40000001</v>
      </c>
      <c r="CA8" s="19">
        <v>10.99526613822796</v>
      </c>
      <c r="CB8" s="19">
        <f t="shared" ref="CB8:CB20" si="66">CA8/BX8-1</f>
        <v>-1.0535901003996928E-2</v>
      </c>
      <c r="CC8" s="18">
        <f t="shared" si="26"/>
        <v>228950330.75</v>
      </c>
      <c r="CD8" s="19">
        <f t="shared" si="26"/>
        <v>11.015760438596976</v>
      </c>
      <c r="CE8" s="395">
        <f t="shared" ref="CE8:CE11" si="67">CD8/CA8-1</f>
        <v>1.8639203554848827E-3</v>
      </c>
      <c r="CF8" s="396">
        <f t="shared" ref="CF8:CF19" si="68">CC8/AS8-1</f>
        <v>1.8797490445031317</v>
      </c>
      <c r="CG8" s="395">
        <f t="shared" ref="CG8:CG11" si="69">(CF8+1)^(1/(2022-2004))-1</f>
        <v>6.0522049356856567E-2</v>
      </c>
      <c r="CK8" s="397">
        <v>3</v>
      </c>
      <c r="CL8" s="398" t="s">
        <v>71</v>
      </c>
      <c r="CM8" s="399">
        <v>999534.17312285723</v>
      </c>
      <c r="CN8" s="400">
        <v>18342221.399999995</v>
      </c>
      <c r="CO8" s="400">
        <v>2810283.7204999998</v>
      </c>
      <c r="CP8" s="401">
        <f>CO8+CN8</f>
        <v>21152505.120499995</v>
      </c>
      <c r="CQ8" s="399">
        <v>999534.17312285712</v>
      </c>
      <c r="CR8" s="400">
        <v>18342221.399999995</v>
      </c>
      <c r="CS8" s="400">
        <v>2082964.1689398875</v>
      </c>
      <c r="CT8" s="400">
        <f>CS8+CR8</f>
        <v>20425185.568939883</v>
      </c>
      <c r="CU8" s="291"/>
      <c r="CV8" s="106"/>
      <c r="CX8" s="397">
        <v>3</v>
      </c>
      <c r="CY8" s="402" t="s">
        <v>71</v>
      </c>
      <c r="CZ8" s="403">
        <v>60825.537499999991</v>
      </c>
      <c r="DA8" s="401">
        <v>1112961.7635000001</v>
      </c>
      <c r="DB8" s="403">
        <v>60825.537500000006</v>
      </c>
      <c r="DC8" s="400">
        <v>1112961.7634999999</v>
      </c>
      <c r="DD8" s="400">
        <v>1112961.7635000001</v>
      </c>
      <c r="DF8" s="106"/>
      <c r="DH8" s="397">
        <v>3</v>
      </c>
      <c r="DI8" s="402" t="s">
        <v>71</v>
      </c>
      <c r="DJ8" s="403">
        <v>233411.5000875534</v>
      </c>
      <c r="DK8" s="401">
        <v>7552344.527499998</v>
      </c>
      <c r="DL8" s="403">
        <v>233411.50008755337</v>
      </c>
      <c r="DM8" s="400">
        <v>8279664.0790601084</v>
      </c>
      <c r="DQ8" s="283">
        <v>3</v>
      </c>
      <c r="DR8" s="404" t="s">
        <v>187</v>
      </c>
      <c r="DS8" s="17">
        <v>2446443.2899999996</v>
      </c>
      <c r="DT8" s="17">
        <v>5284394.74</v>
      </c>
      <c r="DU8" s="17">
        <v>13190868.600000001</v>
      </c>
      <c r="DV8" s="17">
        <v>20921706.630000003</v>
      </c>
      <c r="DW8" s="18"/>
      <c r="DX8" s="17"/>
      <c r="DY8" s="17"/>
      <c r="DZ8" s="17"/>
      <c r="EA8" s="96"/>
      <c r="EB8" s="94"/>
      <c r="EC8" s="96"/>
      <c r="ED8" s="397">
        <v>3</v>
      </c>
      <c r="EE8" s="405" t="s">
        <v>188</v>
      </c>
      <c r="EF8" s="17">
        <v>109637.90600000002</v>
      </c>
      <c r="EG8" s="17">
        <v>202412.08</v>
      </c>
      <c r="EH8" s="17">
        <v>534797.69999999995</v>
      </c>
      <c r="EI8" s="290">
        <f>SUM(EF8:EH8)</f>
        <v>846847.68599999999</v>
      </c>
      <c r="EJ8" s="17">
        <v>110983.40599999999</v>
      </c>
      <c r="EK8" s="17">
        <v>202412.08000000005</v>
      </c>
      <c r="EL8" s="17">
        <v>534797.69999999995</v>
      </c>
      <c r="EM8" s="17">
        <f>SUM(EJ8:EL8)</f>
        <v>848193.18599999999</v>
      </c>
      <c r="EN8" s="103"/>
      <c r="EO8" s="106"/>
      <c r="EQ8" s="397">
        <v>3</v>
      </c>
      <c r="ER8" s="405" t="s">
        <v>188</v>
      </c>
      <c r="ES8" s="17">
        <v>821828.23680000007</v>
      </c>
      <c r="ET8" s="17">
        <v>820963.00999999989</v>
      </c>
      <c r="EU8" s="17">
        <v>978003.62</v>
      </c>
      <c r="EV8" s="290">
        <f>SUM(ES8:EU8)</f>
        <v>2620794.8668</v>
      </c>
      <c r="EW8" s="17">
        <v>774178.11871818162</v>
      </c>
      <c r="EX8" s="17">
        <v>790354.6412999999</v>
      </c>
      <c r="EY8" s="17">
        <v>956467.4888833334</v>
      </c>
      <c r="EZ8" s="290">
        <f>SUM(EW8:EY8)</f>
        <v>2521000.2489015148</v>
      </c>
      <c r="FA8" s="17">
        <f>(EZ8/$EZ$9)*$FA$9</f>
        <v>1800680.6494494905</v>
      </c>
      <c r="FB8" s="17">
        <f>(EZ8/$EZ$9)*$FB$9</f>
        <v>721152.75734985585</v>
      </c>
      <c r="FC8" s="17">
        <f t="shared" si="27"/>
        <v>2521833.4067993462</v>
      </c>
      <c r="FD8" s="103"/>
      <c r="FE8" s="106"/>
      <c r="FG8" s="283">
        <f>FG7+1</f>
        <v>3</v>
      </c>
      <c r="FH8" s="406"/>
      <c r="FI8" s="407" t="s">
        <v>189</v>
      </c>
      <c r="FJ8" s="17">
        <v>152009.04440000001</v>
      </c>
      <c r="FK8" s="17">
        <v>247630.06</v>
      </c>
      <c r="FL8" s="17">
        <v>470678.5</v>
      </c>
      <c r="FM8" s="290">
        <f t="shared" si="28"/>
        <v>870317.60440000007</v>
      </c>
      <c r="FN8" s="17">
        <v>153033.9534909091</v>
      </c>
      <c r="FO8" s="17">
        <v>247702.86000000002</v>
      </c>
      <c r="FP8" s="17">
        <v>470678.49999999988</v>
      </c>
      <c r="FQ8" s="17">
        <v>871415.31349090894</v>
      </c>
      <c r="FR8" s="17">
        <v>871415.31349090894</v>
      </c>
      <c r="FS8" s="103"/>
      <c r="FT8" s="408"/>
      <c r="FV8" s="283">
        <v>3</v>
      </c>
      <c r="FW8" s="286" t="s">
        <v>190</v>
      </c>
      <c r="FX8" s="17">
        <v>9186.32</v>
      </c>
      <c r="FY8" s="17">
        <v>31597.083899999998</v>
      </c>
      <c r="FZ8" s="17">
        <v>271608.79000000004</v>
      </c>
      <c r="GA8" s="290">
        <v>312392.19390000001</v>
      </c>
      <c r="GB8" s="17">
        <v>0</v>
      </c>
      <c r="GC8" s="17">
        <v>0</v>
      </c>
      <c r="GD8" s="17">
        <v>0</v>
      </c>
      <c r="GE8" s="290">
        <f t="shared" si="1"/>
        <v>0</v>
      </c>
      <c r="GF8" s="300"/>
      <c r="GG8" s="301"/>
      <c r="GI8" s="283">
        <v>3</v>
      </c>
      <c r="GJ8" s="97" t="s">
        <v>191</v>
      </c>
      <c r="GK8" s="17">
        <v>0</v>
      </c>
      <c r="GL8" s="17">
        <v>0</v>
      </c>
      <c r="GM8" s="17">
        <v>0</v>
      </c>
      <c r="GN8" s="290">
        <f t="shared" si="2"/>
        <v>0</v>
      </c>
      <c r="GO8" s="17">
        <v>0</v>
      </c>
      <c r="GP8" s="17">
        <v>0</v>
      </c>
      <c r="GQ8" s="17">
        <v>0</v>
      </c>
      <c r="GR8" s="290">
        <f t="shared" si="3"/>
        <v>0</v>
      </c>
      <c r="GS8" s="300"/>
      <c r="GT8" s="301"/>
      <c r="GV8" s="283">
        <v>3</v>
      </c>
      <c r="GW8" s="286" t="s">
        <v>192</v>
      </c>
      <c r="GX8" s="17">
        <v>0</v>
      </c>
      <c r="GY8" s="17">
        <v>0</v>
      </c>
      <c r="GZ8" s="17">
        <v>1064.96</v>
      </c>
      <c r="HA8" s="290">
        <f t="shared" si="4"/>
        <v>1064.96</v>
      </c>
      <c r="HB8" s="17">
        <v>0</v>
      </c>
      <c r="HC8" s="17">
        <v>0</v>
      </c>
      <c r="HD8" s="17">
        <v>1064.96</v>
      </c>
      <c r="HE8" s="17">
        <f>SUM(HB8:HD8)</f>
        <v>1064.96</v>
      </c>
      <c r="HF8" s="300"/>
      <c r="HG8" s="301"/>
      <c r="HI8" s="283">
        <v>3</v>
      </c>
      <c r="HJ8" s="409" t="s">
        <v>193</v>
      </c>
      <c r="HK8" s="17">
        <v>31688402</v>
      </c>
      <c r="HL8" s="17">
        <v>68501616</v>
      </c>
      <c r="HM8" s="17">
        <v>128760312.75</v>
      </c>
      <c r="HN8" s="290">
        <f>SUM(HK8:HM8)</f>
        <v>228950330.75</v>
      </c>
      <c r="HO8" s="17">
        <v>32082866.696969695</v>
      </c>
      <c r="HP8" s="17">
        <v>68669416.799999997</v>
      </c>
      <c r="HQ8" s="17">
        <v>128760312.75</v>
      </c>
      <c r="HR8" s="17">
        <f>SUM(HO8:HQ8)</f>
        <v>229512596.2469697</v>
      </c>
      <c r="HW8" s="283">
        <v>3</v>
      </c>
      <c r="HX8" s="306">
        <v>3</v>
      </c>
      <c r="HY8" s="306">
        <v>10</v>
      </c>
      <c r="HZ8" s="306">
        <v>12</v>
      </c>
      <c r="IA8" s="307">
        <v>19107204</v>
      </c>
      <c r="IB8" s="307">
        <v>22865469</v>
      </c>
      <c r="IC8" s="309">
        <f t="shared" si="5"/>
        <v>1.2</v>
      </c>
      <c r="ID8" s="309">
        <f t="shared" si="6"/>
        <v>1.1966936135710908</v>
      </c>
      <c r="IE8" s="310">
        <v>1</v>
      </c>
      <c r="IF8" s="310">
        <v>0</v>
      </c>
      <c r="IG8" s="310">
        <v>0</v>
      </c>
      <c r="IK8" s="410">
        <v>3</v>
      </c>
      <c r="IL8" s="317">
        <v>3</v>
      </c>
      <c r="IM8" s="313">
        <f t="shared" si="7"/>
        <v>1.1966936135710908</v>
      </c>
      <c r="IN8" s="17">
        <v>0</v>
      </c>
      <c r="IO8" s="290">
        <f t="shared" si="29"/>
        <v>0</v>
      </c>
      <c r="IP8" s="17">
        <v>2081441.3333333333</v>
      </c>
      <c r="IQ8" s="290">
        <v>2485936</v>
      </c>
      <c r="IR8" s="17">
        <v>855076.09094999998</v>
      </c>
      <c r="IS8" s="290">
        <v>1014416</v>
      </c>
      <c r="IT8" s="17">
        <v>225000</v>
      </c>
      <c r="IU8" s="17">
        <v>270000</v>
      </c>
      <c r="IV8" s="17">
        <f t="shared" si="30"/>
        <v>1080076.0909500001</v>
      </c>
      <c r="IW8" s="17">
        <f t="shared" si="30"/>
        <v>1284416</v>
      </c>
      <c r="IX8" s="314"/>
      <c r="IY8" s="315"/>
      <c r="IZ8" s="314"/>
      <c r="JA8" s="316">
        <v>3</v>
      </c>
      <c r="JB8" s="317">
        <v>3</v>
      </c>
      <c r="JC8" s="318">
        <f t="shared" si="8"/>
        <v>1.2</v>
      </c>
      <c r="JD8" s="319">
        <f t="shared" si="8"/>
        <v>1.1966936135710908</v>
      </c>
      <c r="JE8" s="17">
        <v>347788.07813316374</v>
      </c>
      <c r="JF8" s="290">
        <f t="shared" ref="JF8:JF25" si="70">JE8*$JD8</f>
        <v>416195.77197812061</v>
      </c>
      <c r="JG8" s="17">
        <v>43518.84</v>
      </c>
      <c r="JH8" s="290">
        <f t="shared" si="31"/>
        <v>52078.717898022129</v>
      </c>
      <c r="JI8" s="17">
        <v>277626.58186683635</v>
      </c>
      <c r="JJ8" s="290">
        <f t="shared" si="32"/>
        <v>333151.89824020362</v>
      </c>
      <c r="JK8" s="17">
        <v>372202.0235549981</v>
      </c>
      <c r="JL8" s="290">
        <v>425726.49232872151</v>
      </c>
      <c r="JM8" s="17">
        <v>34439.39999999998</v>
      </c>
      <c r="JN8" s="290">
        <f t="shared" si="33"/>
        <v>41213.4100352202</v>
      </c>
      <c r="JO8" s="17">
        <v>47062.981999999989</v>
      </c>
      <c r="JP8" s="290">
        <f t="shared" si="34"/>
        <v>56319.96999501119</v>
      </c>
      <c r="JQ8" s="17">
        <v>26193.61</v>
      </c>
      <c r="JR8" s="290">
        <f t="shared" si="35"/>
        <v>31345.725803371861</v>
      </c>
      <c r="JS8" s="17">
        <v>128791.51393333332</v>
      </c>
      <c r="JT8" s="290">
        <f t="shared" si="36"/>
        <v>154123.98220617214</v>
      </c>
      <c r="JU8" s="17">
        <f t="shared" si="37"/>
        <v>1277623.0294883316</v>
      </c>
      <c r="JV8" s="17">
        <f t="shared" si="37"/>
        <v>1510155.9684848431</v>
      </c>
      <c r="JW8" s="320">
        <f t="shared" si="9"/>
        <v>6.604526539494306</v>
      </c>
      <c r="KA8" s="283">
        <v>3</v>
      </c>
      <c r="KB8" s="306">
        <v>3</v>
      </c>
      <c r="KC8" s="97">
        <f t="shared" si="10"/>
        <v>12</v>
      </c>
      <c r="KD8" s="97">
        <f t="shared" si="11"/>
        <v>12</v>
      </c>
      <c r="KE8" s="289">
        <f t="shared" si="12"/>
        <v>22865469</v>
      </c>
      <c r="KF8" s="289">
        <f t="shared" si="13"/>
        <v>23707592.230565172</v>
      </c>
      <c r="KG8" s="321">
        <f t="shared" si="38"/>
        <v>1</v>
      </c>
      <c r="KH8" s="321">
        <f t="shared" si="39"/>
        <v>1.036829475510219</v>
      </c>
      <c r="KI8" s="321">
        <f t="shared" si="40"/>
        <v>1.0441349983889281</v>
      </c>
      <c r="KJ8" s="306" t="s">
        <v>440</v>
      </c>
      <c r="KK8" s="322"/>
      <c r="KL8" s="323"/>
      <c r="KM8" s="322"/>
      <c r="KN8" s="283">
        <v>3</v>
      </c>
      <c r="KO8" s="306">
        <v>3</v>
      </c>
      <c r="KP8" s="324" t="str">
        <f t="shared" si="14"/>
        <v>Q4</v>
      </c>
      <c r="KQ8" s="325">
        <f t="shared" si="15"/>
        <v>1.0441349983889281</v>
      </c>
      <c r="KR8" s="17">
        <f t="shared" si="41"/>
        <v>0</v>
      </c>
      <c r="KS8" s="17">
        <f t="shared" si="42"/>
        <v>0</v>
      </c>
      <c r="KT8" s="17">
        <f t="shared" si="16"/>
        <v>2485936</v>
      </c>
      <c r="KU8" s="17">
        <f t="shared" si="43"/>
        <v>2596292.485208496</v>
      </c>
      <c r="KV8" s="17">
        <f t="shared" si="17"/>
        <v>1014416</v>
      </c>
      <c r="KW8" s="17">
        <f t="shared" si="18"/>
        <v>1425228.873556413</v>
      </c>
      <c r="KX8" s="17">
        <f t="shared" si="44"/>
        <v>270000</v>
      </c>
      <c r="KY8" s="17">
        <f t="shared" si="45"/>
        <v>51510.231528821081</v>
      </c>
      <c r="KZ8" s="17">
        <f t="shared" si="46"/>
        <v>1284416</v>
      </c>
      <c r="LA8" s="17">
        <f t="shared" si="46"/>
        <v>1476739.1050852342</v>
      </c>
      <c r="LB8" s="326"/>
      <c r="LC8" s="323"/>
      <c r="LD8" s="322"/>
      <c r="LE8" s="364">
        <f t="shared" ref="LE8:LE28" si="71">LE7+1</f>
        <v>3</v>
      </c>
      <c r="LF8" s="365">
        <v>2</v>
      </c>
      <c r="LG8" s="411">
        <f t="shared" ref="LG8:LH27" si="72">KG7</f>
        <v>1</v>
      </c>
      <c r="LH8" s="411">
        <f t="shared" si="72"/>
        <v>1.036829475510219</v>
      </c>
      <c r="LI8" s="412">
        <v>106.45762205358784</v>
      </c>
      <c r="LJ8" s="343">
        <f t="shared" ref="LJ8:LJ26" si="73">JF7*LJ$6/LI8*KH7</f>
        <v>314434.60908576415</v>
      </c>
      <c r="LK8" s="412">
        <v>106.45762205358784</v>
      </c>
      <c r="LL8" s="343">
        <f t="shared" si="47"/>
        <v>12457.969047393528</v>
      </c>
      <c r="LM8" s="412">
        <v>106.45762205358784</v>
      </c>
      <c r="LN8" s="343">
        <f t="shared" si="48"/>
        <v>103286.30812571313</v>
      </c>
      <c r="LO8" s="412">
        <v>118.614283549666</v>
      </c>
      <c r="LP8" s="343">
        <f t="shared" ref="LP8:LP26" si="74">JL7*LP$6/LO8*LG8</f>
        <v>327503.78307503246</v>
      </c>
      <c r="LQ8" s="412">
        <v>119.48337591187899</v>
      </c>
      <c r="LR8" s="343">
        <f t="shared" si="49"/>
        <v>61851.213186585723</v>
      </c>
      <c r="LS8" s="412">
        <v>157.07111615098</v>
      </c>
      <c r="LT8" s="343">
        <f t="shared" si="50"/>
        <v>13665.340778672886</v>
      </c>
      <c r="LU8" s="412">
        <v>112.15574935818501</v>
      </c>
      <c r="LV8" s="343">
        <f t="shared" si="51"/>
        <v>43375.864124152475</v>
      </c>
      <c r="LW8" s="412">
        <v>116.939890710382</v>
      </c>
      <c r="LX8" s="343">
        <f t="shared" si="52"/>
        <v>140930.98714677285</v>
      </c>
      <c r="LY8" s="20">
        <f t="shared" si="53"/>
        <v>1029302.370829471</v>
      </c>
      <c r="LZ8" s="20">
        <f t="shared" ref="LZ8:LZ26" si="75">LJ8+LL8+LN8+LP8+LR8+LV8+LX8+LT8</f>
        <v>1017506.0745700873</v>
      </c>
      <c r="MA8" s="103"/>
      <c r="MB8" s="335"/>
      <c r="MD8" s="283">
        <v>3</v>
      </c>
      <c r="ME8" s="336">
        <v>3</v>
      </c>
      <c r="MF8" s="17">
        <f t="shared" si="19"/>
        <v>1080076.0909500001</v>
      </c>
      <c r="MG8" s="17">
        <f t="shared" si="19"/>
        <v>1284416</v>
      </c>
      <c r="MH8" s="290">
        <f t="shared" si="20"/>
        <v>1476739.1050852342</v>
      </c>
      <c r="MI8" s="17">
        <f t="shared" si="21"/>
        <v>1277623.0294883316</v>
      </c>
      <c r="MJ8" s="17">
        <f t="shared" si="21"/>
        <v>1510155.9684848431</v>
      </c>
      <c r="MK8" s="290">
        <f t="shared" si="54"/>
        <v>1576806.699720952</v>
      </c>
      <c r="ML8" s="17">
        <f t="shared" si="55"/>
        <v>-197546.93853833154</v>
      </c>
      <c r="MM8" s="17">
        <f t="shared" si="55"/>
        <v>-225739.96848484315</v>
      </c>
      <c r="MN8" s="17">
        <f t="shared" si="55"/>
        <v>-100067.5946357178</v>
      </c>
      <c r="MR8" s="283">
        <f t="shared" ref="MR8:MR13" si="76">MR7+1</f>
        <v>3</v>
      </c>
      <c r="MS8" s="413" t="s">
        <v>43</v>
      </c>
      <c r="MT8" s="32">
        <v>239866309.41368827</v>
      </c>
      <c r="MX8" s="338">
        <f>MX7+1</f>
        <v>2</v>
      </c>
      <c r="MY8" s="346" t="s">
        <v>184</v>
      </c>
      <c r="MZ8" s="20">
        <f>N8</f>
        <v>239866309.41368827</v>
      </c>
      <c r="NA8" s="414">
        <f t="shared" si="56"/>
        <v>10.951312389544174</v>
      </c>
      <c r="NC8" s="15">
        <f>MZ8</f>
        <v>239866309.41368827</v>
      </c>
      <c r="ND8" s="414">
        <f t="shared" si="57"/>
        <v>10.951312389544174</v>
      </c>
      <c r="NH8" s="338">
        <f>NH7+1</f>
        <v>2</v>
      </c>
      <c r="NI8" s="346" t="str">
        <f t="shared" si="58"/>
        <v>Less Purchases</v>
      </c>
      <c r="NJ8" s="20">
        <v>240527467.54057765</v>
      </c>
      <c r="NK8" s="20">
        <f>MZ8</f>
        <v>239866309.41368827</v>
      </c>
      <c r="NL8" s="20">
        <f t="shared" ref="NL8:NL32" si="77">NK8-NJ8</f>
        <v>-661158.12688937783</v>
      </c>
      <c r="NM8" s="352">
        <f t="shared" ref="NM8:NM31" si="78">NL8/NJ8</f>
        <v>-2.7487843016425501E-3</v>
      </c>
    </row>
    <row r="9" spans="2:387" ht="17.25" thickBot="1" x14ac:dyDescent="0.35">
      <c r="B9" s="226">
        <f t="shared" ref="B9:B22" si="79">B8+1</f>
        <v>4</v>
      </c>
      <c r="C9" s="339"/>
      <c r="D9" s="518" t="s">
        <v>194</v>
      </c>
      <c r="E9" s="340"/>
      <c r="F9" s="15">
        <f>F7-F8</f>
        <v>97424965.908500075</v>
      </c>
      <c r="G9" s="341">
        <f t="shared" si="22"/>
        <v>4.6875236286878099</v>
      </c>
      <c r="H9" s="15">
        <f>H7-H8</f>
        <v>93109688.080902457</v>
      </c>
      <c r="I9" s="342">
        <f t="shared" si="23"/>
        <v>4.4691335738219662</v>
      </c>
      <c r="J9" s="343">
        <f t="shared" si="59"/>
        <v>-4315277.8275976181</v>
      </c>
      <c r="K9" s="15">
        <f>IS26</f>
        <v>94967116</v>
      </c>
      <c r="L9" s="342">
        <f t="shared" si="24"/>
        <v>4.4954947913881655</v>
      </c>
      <c r="M9" s="343">
        <f t="shared" si="60"/>
        <v>1857427.9190975428</v>
      </c>
      <c r="N9" s="15">
        <f>KW26</f>
        <v>131674066.73842122</v>
      </c>
      <c r="O9" s="342">
        <f t="shared" si="25"/>
        <v>6.0116981079121441</v>
      </c>
      <c r="P9" s="343">
        <f t="shared" si="61"/>
        <v>36706950.738421217</v>
      </c>
      <c r="Q9" s="15">
        <f t="shared" si="62"/>
        <v>34249100.829921141</v>
      </c>
      <c r="R9" s="344">
        <f>O9/G9-1</f>
        <v>0.28248913160039124</v>
      </c>
      <c r="V9" s="275"/>
      <c r="W9" s="276" t="s">
        <v>26</v>
      </c>
      <c r="X9" s="415"/>
      <c r="Y9" s="416"/>
      <c r="Z9" s="416"/>
      <c r="AA9" s="416"/>
      <c r="AB9" s="279"/>
      <c r="AC9" s="349"/>
      <c r="AF9" s="417">
        <f t="shared" ref="AF9:AF21" si="80">AF8+1</f>
        <v>3</v>
      </c>
      <c r="AG9" s="418" t="s">
        <v>195</v>
      </c>
      <c r="AH9" s="419">
        <f>F14/AH7</f>
        <v>21.259502357287285</v>
      </c>
      <c r="AI9" s="419">
        <f>F15/AI7</f>
        <v>19.390851338774322</v>
      </c>
      <c r="AJ9" s="419">
        <f>F16/AJ7</f>
        <v>29.970456808704011</v>
      </c>
      <c r="AL9" s="420"/>
      <c r="AN9" s="338">
        <v>4</v>
      </c>
      <c r="AO9" s="96"/>
      <c r="AQ9" s="518" t="s">
        <v>196</v>
      </c>
      <c r="AR9" s="340"/>
      <c r="AS9" s="348">
        <v>40798541.478400007</v>
      </c>
      <c r="AT9" s="349">
        <v>3.9784808756709964</v>
      </c>
      <c r="AU9" s="350"/>
      <c r="AV9" s="348">
        <v>43143142.145199999</v>
      </c>
      <c r="AW9" s="349">
        <v>3.9977765121497129</v>
      </c>
      <c r="AX9" s="351">
        <f>AW9/AT9-1</f>
        <v>4.8500010636502999E-3</v>
      </c>
      <c r="AY9" s="350"/>
      <c r="AZ9" s="348">
        <v>52055496.75</v>
      </c>
      <c r="BA9" s="349">
        <v>4.0348819154069133</v>
      </c>
      <c r="BB9" s="351">
        <f>BA9/AW9-1</f>
        <v>9.2815101455603344E-3</v>
      </c>
      <c r="BC9" s="350"/>
      <c r="BD9" s="348">
        <v>59830706</v>
      </c>
      <c r="BE9" s="349">
        <v>4.0684254603524463</v>
      </c>
      <c r="BF9" s="351">
        <f>BE9/BA9-1</f>
        <v>8.313389499070345E-3</v>
      </c>
      <c r="BG9" s="350"/>
      <c r="BH9" s="348">
        <v>59786661.226033345</v>
      </c>
      <c r="BI9" s="349">
        <v>3.9342611202245616</v>
      </c>
      <c r="BJ9" s="351">
        <f>BI9/BE9-1</f>
        <v>-3.2976968961417885E-2</v>
      </c>
      <c r="BK9" s="350"/>
      <c r="BL9" s="348">
        <v>66021321</v>
      </c>
      <c r="BM9" s="349">
        <v>3.9248623221128827</v>
      </c>
      <c r="BN9" s="351">
        <f>BM9/BI9-1</f>
        <v>-2.3889614401452208E-3</v>
      </c>
      <c r="BO9" s="350"/>
      <c r="BP9" s="348">
        <v>81963127.490000069</v>
      </c>
      <c r="BQ9" s="349">
        <v>4.4189957395433002</v>
      </c>
      <c r="BR9" s="351">
        <f>BQ9/BM9-1</f>
        <v>0.12589828046870433</v>
      </c>
      <c r="BS9" s="350"/>
      <c r="BT9" s="518">
        <v>94550736.985399961</v>
      </c>
      <c r="BU9" s="518">
        <v>4.8189639488589151</v>
      </c>
      <c r="BV9" s="518">
        <f>BU9/BQ9-1</f>
        <v>9.0511109964761305E-2</v>
      </c>
      <c r="BW9" s="15">
        <v>96385423.959800005</v>
      </c>
      <c r="BX9" s="16">
        <v>4.9793229575775362</v>
      </c>
      <c r="BY9" s="16">
        <f t="shared" si="65"/>
        <v>3.3276656646620495E-2</v>
      </c>
      <c r="BZ9" s="16">
        <v>104384344.36159995</v>
      </c>
      <c r="CA9" s="16">
        <v>5.1171376873373191</v>
      </c>
      <c r="CB9" s="16">
        <f t="shared" si="66"/>
        <v>2.7677403320476746E-2</v>
      </c>
      <c r="CC9" s="15">
        <f t="shared" si="26"/>
        <v>97424965.908500075</v>
      </c>
      <c r="CD9" s="16">
        <f t="shared" si="26"/>
        <v>4.6875236286878099</v>
      </c>
      <c r="CE9" s="352">
        <f t="shared" si="67"/>
        <v>-8.3955931010536666E-2</v>
      </c>
      <c r="CF9" s="353">
        <f t="shared" si="68"/>
        <v>1.387952176184529</v>
      </c>
      <c r="CG9" s="352">
        <f t="shared" si="69"/>
        <v>4.9545869026245137E-2</v>
      </c>
      <c r="CK9" s="421">
        <v>4</v>
      </c>
      <c r="CL9" s="422" t="s">
        <v>72</v>
      </c>
      <c r="CM9" s="423">
        <f t="shared" ref="CM9:CT9" si="81">SUM(CM6:CM8)</f>
        <v>1768304.2516944832</v>
      </c>
      <c r="CN9" s="424">
        <f t="shared" si="81"/>
        <v>32588519.365899995</v>
      </c>
      <c r="CO9" s="424">
        <f t="shared" si="81"/>
        <v>5004749.0414000005</v>
      </c>
      <c r="CP9" s="425">
        <f t="shared" si="81"/>
        <v>37593268.407299995</v>
      </c>
      <c r="CQ9" s="423">
        <f t="shared" si="81"/>
        <v>1771580.4609369074</v>
      </c>
      <c r="CR9" s="424">
        <f t="shared" si="81"/>
        <v>32647547.262273327</v>
      </c>
      <c r="CS9" s="424">
        <f t="shared" si="81"/>
        <v>3737121.3062909618</v>
      </c>
      <c r="CT9" s="424">
        <f t="shared" si="81"/>
        <v>36384668.568564288</v>
      </c>
      <c r="CV9" s="106"/>
      <c r="CX9" s="421">
        <v>4</v>
      </c>
      <c r="CY9" s="422" t="s">
        <v>72</v>
      </c>
      <c r="CZ9" s="426">
        <f>SUM(CZ6:CZ8)</f>
        <v>110734.90699999999</v>
      </c>
      <c r="DA9" s="427">
        <f>SUM(DA6:DA8)</f>
        <v>2147244.1196499998</v>
      </c>
      <c r="DB9" s="426">
        <f>SUM(DB6:DB8)</f>
        <v>110738.507</v>
      </c>
      <c r="DC9" s="428">
        <f>SUM(DC6:DC8)</f>
        <v>2147299.9196499996</v>
      </c>
      <c r="DD9" s="428">
        <f>SUM(DD6:DD8)</f>
        <v>2147299.9196500001</v>
      </c>
      <c r="DF9" s="106"/>
      <c r="DH9" s="421">
        <v>4</v>
      </c>
      <c r="DI9" s="422" t="s">
        <v>72</v>
      </c>
      <c r="DJ9" s="426">
        <f>SUM(DJ6:DJ8)</f>
        <v>530227.1121017714</v>
      </c>
      <c r="DK9" s="429">
        <f>SUM(DK6:DK8)</f>
        <v>15891148.762049999</v>
      </c>
      <c r="DL9" s="426">
        <f>SUM(DL6:DL8)</f>
        <v>532725.79619268049</v>
      </c>
      <c r="DM9" s="430">
        <f>SUM(DM6:DM8)</f>
        <v>17229598.204603884</v>
      </c>
      <c r="DQ9" s="338">
        <v>4</v>
      </c>
      <c r="DR9" s="104" t="s">
        <v>197</v>
      </c>
      <c r="DS9" s="20">
        <v>680166.6370000001</v>
      </c>
      <c r="DT9" s="20">
        <v>746283.70999999985</v>
      </c>
      <c r="DU9" s="20">
        <v>1231080.0325</v>
      </c>
      <c r="DV9" s="20">
        <v>2657530.3794999998</v>
      </c>
      <c r="DW9" s="15"/>
      <c r="DX9" s="20"/>
      <c r="DY9" s="20"/>
      <c r="DZ9" s="20"/>
      <c r="ED9" s="431">
        <v>4</v>
      </c>
      <c r="EE9" s="432" t="s">
        <v>72</v>
      </c>
      <c r="EF9" s="433">
        <f t="shared" ref="EF9:EL9" si="82">SUM(EF6:EF8)</f>
        <v>462450.054</v>
      </c>
      <c r="EG9" s="433">
        <f t="shared" si="82"/>
        <v>1503959.5179999999</v>
      </c>
      <c r="EH9" s="433">
        <f t="shared" si="82"/>
        <v>2975958.0346999997</v>
      </c>
      <c r="EI9" s="434">
        <f t="shared" si="82"/>
        <v>4942367.6066999994</v>
      </c>
      <c r="EJ9" s="433">
        <f t="shared" si="82"/>
        <v>454226.32116146933</v>
      </c>
      <c r="EK9" s="433">
        <f t="shared" si="82"/>
        <v>1511364.4405120066</v>
      </c>
      <c r="EL9" s="433">
        <f t="shared" si="82"/>
        <v>2981156.4268586496</v>
      </c>
      <c r="EM9" s="433">
        <f>SUM(EM6:EM8)</f>
        <v>4946747.1885321252</v>
      </c>
      <c r="EN9" s="103"/>
      <c r="EO9" s="408"/>
      <c r="EQ9" s="431">
        <v>4</v>
      </c>
      <c r="ER9" s="432" t="s">
        <v>72</v>
      </c>
      <c r="ES9" s="433">
        <f t="shared" ref="ES9:EZ9" si="83">SUM(ES6:ES8)</f>
        <v>1110499.9328000001</v>
      </c>
      <c r="ET9" s="433">
        <f t="shared" si="83"/>
        <v>1020073.0299999999</v>
      </c>
      <c r="EU9" s="433">
        <f t="shared" si="83"/>
        <v>1386160.8160000001</v>
      </c>
      <c r="EV9" s="434">
        <f t="shared" si="83"/>
        <v>3516733.7788</v>
      </c>
      <c r="EW9" s="433">
        <f t="shared" si="83"/>
        <v>1044966.8286657071</v>
      </c>
      <c r="EX9" s="433">
        <f t="shared" si="83"/>
        <v>985240.73378442356</v>
      </c>
      <c r="EY9" s="433">
        <f t="shared" si="83"/>
        <v>1344674.172341411</v>
      </c>
      <c r="EZ9" s="434">
        <f t="shared" si="83"/>
        <v>3374881.7347915415</v>
      </c>
      <c r="FA9" s="433">
        <v>2410584.5434436779</v>
      </c>
      <c r="FB9" s="433">
        <v>965412.54600632284</v>
      </c>
      <c r="FC9" s="433">
        <f t="shared" si="27"/>
        <v>3375997.0894500008</v>
      </c>
      <c r="FD9" s="103"/>
      <c r="FE9" s="408"/>
      <c r="FG9" s="338">
        <f t="shared" ref="FG9:FG35" si="84">FG8+1</f>
        <v>4</v>
      </c>
      <c r="FH9" s="360"/>
      <c r="FI9" s="361" t="s">
        <v>198</v>
      </c>
      <c r="FJ9" s="20">
        <v>189887.30370000005</v>
      </c>
      <c r="FK9" s="20">
        <v>178441.77000000002</v>
      </c>
      <c r="FL9" s="20">
        <v>260899.5</v>
      </c>
      <c r="FM9" s="343">
        <f t="shared" si="28"/>
        <v>629228.57370000007</v>
      </c>
      <c r="FN9" s="20">
        <v>191392.48006363638</v>
      </c>
      <c r="FO9" s="20">
        <v>178638.77</v>
      </c>
      <c r="FP9" s="20">
        <v>260899.49999999994</v>
      </c>
      <c r="FQ9" s="20">
        <v>630930.75006363634</v>
      </c>
      <c r="FR9" s="20">
        <v>630930.75006363634</v>
      </c>
      <c r="FS9" s="103"/>
      <c r="FT9" s="408"/>
      <c r="FV9" s="338">
        <v>4</v>
      </c>
      <c r="FW9" s="340" t="s">
        <v>199</v>
      </c>
      <c r="FX9" s="20">
        <v>27606.560000000001</v>
      </c>
      <c r="FY9" s="20">
        <v>0</v>
      </c>
      <c r="FZ9" s="20">
        <v>0</v>
      </c>
      <c r="GA9" s="343">
        <v>27606.560000000001</v>
      </c>
      <c r="GB9" s="20">
        <v>0</v>
      </c>
      <c r="GC9" s="20">
        <v>0</v>
      </c>
      <c r="GD9" s="20">
        <v>0</v>
      </c>
      <c r="GE9" s="343">
        <f t="shared" si="1"/>
        <v>0</v>
      </c>
      <c r="GF9" s="300"/>
      <c r="GG9" s="301"/>
      <c r="GI9" s="338">
        <v>4</v>
      </c>
      <c r="GJ9" s="362" t="s">
        <v>200</v>
      </c>
      <c r="GK9" s="20">
        <v>0</v>
      </c>
      <c r="GL9" s="20">
        <v>0</v>
      </c>
      <c r="GM9" s="20">
        <v>0</v>
      </c>
      <c r="GN9" s="343">
        <f t="shared" si="2"/>
        <v>0</v>
      </c>
      <c r="GO9" s="20">
        <v>0</v>
      </c>
      <c r="GP9" s="20">
        <v>0</v>
      </c>
      <c r="GQ9" s="20">
        <v>0</v>
      </c>
      <c r="GR9" s="343">
        <f t="shared" si="3"/>
        <v>0</v>
      </c>
      <c r="GS9" s="300"/>
      <c r="GT9" s="301"/>
      <c r="GV9" s="338">
        <v>4</v>
      </c>
      <c r="GW9" s="340" t="s">
        <v>201</v>
      </c>
      <c r="GX9" s="20">
        <v>15</v>
      </c>
      <c r="GY9" s="20">
        <v>102.05</v>
      </c>
      <c r="GZ9" s="20">
        <v>28</v>
      </c>
      <c r="HA9" s="343">
        <f t="shared" si="4"/>
        <v>145.05000000000001</v>
      </c>
      <c r="HB9" s="20">
        <v>15</v>
      </c>
      <c r="HC9" s="20">
        <v>102.05</v>
      </c>
      <c r="HD9" s="20">
        <v>28</v>
      </c>
      <c r="HE9" s="20">
        <f>SUM(HB9:HD9)</f>
        <v>145.05000000000001</v>
      </c>
      <c r="HF9" s="300"/>
      <c r="HG9" s="301"/>
      <c r="HI9" s="435">
        <v>4</v>
      </c>
      <c r="HJ9" s="436" t="s">
        <v>202</v>
      </c>
      <c r="HK9" s="436">
        <f>HK7-HK8</f>
        <v>15547930.827358045</v>
      </c>
      <c r="HL9" s="436">
        <f>HL7-HL8</f>
        <v>30873007.267200008</v>
      </c>
      <c r="HM9" s="436">
        <f>HM7-HM8</f>
        <v>57974601.33160001</v>
      </c>
      <c r="HN9" s="436">
        <f>SUM(HK9:HM9)</f>
        <v>104395539.42615807</v>
      </c>
      <c r="HO9" s="436">
        <f>HO7-HO8</f>
        <v>13275900.142986365</v>
      </c>
      <c r="HP9" s="436">
        <f>HP7-HP8</f>
        <v>29046739.107620001</v>
      </c>
      <c r="HQ9" s="436">
        <f>HQ7-HQ8</f>
        <v>55553147.771600008</v>
      </c>
      <c r="HR9" s="436">
        <f>SUM(HO9:HQ9)</f>
        <v>97875787.022206366</v>
      </c>
      <c r="HW9" s="338">
        <v>4</v>
      </c>
      <c r="HX9" s="322">
        <v>4</v>
      </c>
      <c r="HY9" s="322">
        <v>11</v>
      </c>
      <c r="HZ9" s="322">
        <v>10</v>
      </c>
      <c r="IA9" s="347">
        <v>26264261</v>
      </c>
      <c r="IB9" s="347">
        <v>23590721</v>
      </c>
      <c r="IC9" s="342">
        <f t="shared" si="5"/>
        <v>0.90909090909090906</v>
      </c>
      <c r="ID9" s="342">
        <f t="shared" si="6"/>
        <v>0.89820615931283965</v>
      </c>
      <c r="IE9" s="344">
        <v>1</v>
      </c>
      <c r="IF9" s="344">
        <v>0</v>
      </c>
      <c r="IG9" s="344">
        <v>0</v>
      </c>
      <c r="IK9" s="364">
        <v>4</v>
      </c>
      <c r="IL9" s="365">
        <v>4</v>
      </c>
      <c r="IM9" s="341">
        <f t="shared" si="7"/>
        <v>0.89820615931283965</v>
      </c>
      <c r="IN9" s="20">
        <v>7664</v>
      </c>
      <c r="IO9" s="343">
        <f t="shared" si="29"/>
        <v>6883.8520049736035</v>
      </c>
      <c r="IP9" s="20">
        <v>2868589</v>
      </c>
      <c r="IQ9" s="343">
        <v>2570986</v>
      </c>
      <c r="IR9" s="20">
        <v>1172360.9693000002</v>
      </c>
      <c r="IS9" s="343">
        <v>1051227</v>
      </c>
      <c r="IT9" s="20">
        <v>247500</v>
      </c>
      <c r="IU9" s="20">
        <v>225000</v>
      </c>
      <c r="IV9" s="20">
        <f t="shared" si="30"/>
        <v>1427524.9693000002</v>
      </c>
      <c r="IW9" s="20">
        <f t="shared" si="30"/>
        <v>1283110.8520049737</v>
      </c>
      <c r="IX9" s="314"/>
      <c r="IY9" s="315"/>
      <c r="IZ9" s="314"/>
      <c r="JA9" s="366">
        <v>4</v>
      </c>
      <c r="JB9" s="365">
        <v>4</v>
      </c>
      <c r="JC9" s="367">
        <f t="shared" si="8"/>
        <v>0.90909090909090906</v>
      </c>
      <c r="JD9" s="368">
        <f t="shared" si="8"/>
        <v>0.89820615931283965</v>
      </c>
      <c r="JE9" s="20">
        <v>542390.29433242558</v>
      </c>
      <c r="JF9" s="343">
        <f t="shared" si="70"/>
        <v>487178.30312088865</v>
      </c>
      <c r="JG9" s="20">
        <v>53126.451000000001</v>
      </c>
      <c r="JH9" s="343">
        <f t="shared" si="31"/>
        <v>47718.505510631767</v>
      </c>
      <c r="JI9" s="20">
        <v>406583.4446675746</v>
      </c>
      <c r="JJ9" s="343">
        <f t="shared" si="32"/>
        <v>369621.31333415874</v>
      </c>
      <c r="JK9" s="20">
        <v>414159.29905448295</v>
      </c>
      <c r="JL9" s="343">
        <v>370890.46616913925</v>
      </c>
      <c r="JM9" s="20">
        <v>34921.061000000002</v>
      </c>
      <c r="JN9" s="343">
        <f t="shared" si="33"/>
        <v>31366.312079939391</v>
      </c>
      <c r="JO9" s="20">
        <v>43741.144</v>
      </c>
      <c r="JP9" s="343">
        <f t="shared" si="34"/>
        <v>39288.564956189861</v>
      </c>
      <c r="JQ9" s="20">
        <v>36874.22</v>
      </c>
      <c r="JR9" s="343">
        <f t="shared" si="35"/>
        <v>33120.651523856701</v>
      </c>
      <c r="JS9" s="20">
        <v>141721.51135000002</v>
      </c>
      <c r="JT9" s="343">
        <f t="shared" si="36"/>
        <v>127295.13440169452</v>
      </c>
      <c r="JU9" s="20">
        <f t="shared" si="37"/>
        <v>1673517.4254044832</v>
      </c>
      <c r="JV9" s="20">
        <f t="shared" si="37"/>
        <v>1506479.2510964985</v>
      </c>
      <c r="JW9" s="369">
        <f t="shared" si="9"/>
        <v>6.3858974513602131</v>
      </c>
      <c r="KA9" s="338">
        <v>4</v>
      </c>
      <c r="KB9" s="322">
        <v>4</v>
      </c>
      <c r="KC9" s="518">
        <f t="shared" si="10"/>
        <v>10</v>
      </c>
      <c r="KD9" s="518">
        <f t="shared" si="11"/>
        <v>10</v>
      </c>
      <c r="KE9" s="370">
        <f t="shared" si="12"/>
        <v>23590721</v>
      </c>
      <c r="KF9" s="370">
        <f t="shared" si="13"/>
        <v>24459554.881337907</v>
      </c>
      <c r="KG9" s="371">
        <f t="shared" si="38"/>
        <v>1</v>
      </c>
      <c r="KH9" s="371">
        <f t="shared" si="39"/>
        <v>1.036829475510219</v>
      </c>
      <c r="KI9" s="371">
        <f t="shared" si="40"/>
        <v>1.0439501953860701</v>
      </c>
      <c r="KJ9" s="322" t="s">
        <v>440</v>
      </c>
      <c r="KK9" s="322"/>
      <c r="KL9" s="323"/>
      <c r="KM9" s="322"/>
      <c r="KN9" s="338">
        <v>4</v>
      </c>
      <c r="KO9" s="322">
        <v>4</v>
      </c>
      <c r="KP9" s="437" t="str">
        <f t="shared" si="14"/>
        <v>Q4</v>
      </c>
      <c r="KQ9" s="373">
        <f t="shared" si="15"/>
        <v>1.0439501953860701</v>
      </c>
      <c r="KR9" s="358">
        <f t="shared" si="41"/>
        <v>6883.8520049736035</v>
      </c>
      <c r="KS9" s="358">
        <f t="shared" si="42"/>
        <v>7186.3986456009843</v>
      </c>
      <c r="KT9" s="358">
        <f t="shared" si="16"/>
        <v>2570986</v>
      </c>
      <c r="KU9" s="358">
        <f t="shared" si="43"/>
        <v>2678642.2641473156</v>
      </c>
      <c r="KV9" s="358">
        <f t="shared" si="17"/>
        <v>1051227</v>
      </c>
      <c r="KW9" s="358">
        <f t="shared" si="18"/>
        <v>1470434.5980051239</v>
      </c>
      <c r="KX9" s="358">
        <f t="shared" si="44"/>
        <v>225000</v>
      </c>
      <c r="KY9" s="358">
        <f t="shared" si="45"/>
        <v>53144.044438442164</v>
      </c>
      <c r="KZ9" s="358">
        <f t="shared" si="46"/>
        <v>1283110.8520049737</v>
      </c>
      <c r="LA9" s="358">
        <f t="shared" si="46"/>
        <v>1530765.0410891671</v>
      </c>
      <c r="LB9" s="326"/>
      <c r="LC9" s="323"/>
      <c r="LD9" s="322"/>
      <c r="LE9" s="374">
        <f t="shared" si="71"/>
        <v>4</v>
      </c>
      <c r="LF9" s="375">
        <v>3</v>
      </c>
      <c r="LG9" s="376">
        <f t="shared" si="72"/>
        <v>1</v>
      </c>
      <c r="LH9" s="376">
        <f t="shared" si="72"/>
        <v>1.036829475510219</v>
      </c>
      <c r="LI9" s="377">
        <v>92.086954396969617</v>
      </c>
      <c r="LJ9" s="290">
        <f t="shared" si="73"/>
        <v>440005.49349695182</v>
      </c>
      <c r="LK9" s="377">
        <v>92.086954396969617</v>
      </c>
      <c r="LL9" s="290">
        <f t="shared" si="47"/>
        <v>55058.036415161863</v>
      </c>
      <c r="LM9" s="377">
        <v>92.086954396969617</v>
      </c>
      <c r="LN9" s="290">
        <f t="shared" si="48"/>
        <v>339699.87870464643</v>
      </c>
      <c r="LO9" s="377">
        <v>119.50379714140099</v>
      </c>
      <c r="LP9" s="290">
        <f t="shared" si="74"/>
        <v>442005.11186349811</v>
      </c>
      <c r="LQ9" s="377">
        <v>120.433043671646</v>
      </c>
      <c r="LR9" s="290">
        <f t="shared" si="49"/>
        <v>44322.785629452199</v>
      </c>
      <c r="LS9" s="377">
        <v>146.40099357416699</v>
      </c>
      <c r="LT9" s="290">
        <f t="shared" si="50"/>
        <v>56963.659288506125</v>
      </c>
      <c r="LU9" s="377">
        <v>116.183248398364</v>
      </c>
      <c r="LV9" s="290">
        <f t="shared" si="51"/>
        <v>32982.52205758106</v>
      </c>
      <c r="LW9" s="377">
        <v>117.5956284153</v>
      </c>
      <c r="LX9" s="378">
        <f t="shared" si="52"/>
        <v>165769.21226515461</v>
      </c>
      <c r="LY9" s="379">
        <f t="shared" si="53"/>
        <v>1510155.9684848431</v>
      </c>
      <c r="LZ9" s="379">
        <f t="shared" si="75"/>
        <v>1576806.699720952</v>
      </c>
      <c r="MA9" s="103"/>
      <c r="MB9" s="335"/>
      <c r="MD9" s="338">
        <v>4</v>
      </c>
      <c r="ME9" s="380">
        <v>4</v>
      </c>
      <c r="MF9" s="20">
        <f t="shared" si="19"/>
        <v>1427524.9693000002</v>
      </c>
      <c r="MG9" s="20">
        <f t="shared" si="19"/>
        <v>1283110.8520049737</v>
      </c>
      <c r="MH9" s="343">
        <f t="shared" si="20"/>
        <v>1530765.0410891671</v>
      </c>
      <c r="MI9" s="20">
        <f t="shared" si="21"/>
        <v>1673517.4254044832</v>
      </c>
      <c r="MJ9" s="20">
        <f t="shared" si="21"/>
        <v>1506479.2510964985</v>
      </c>
      <c r="MK9" s="343">
        <f t="shared" si="54"/>
        <v>1572689.3085272501</v>
      </c>
      <c r="ML9" s="20">
        <f t="shared" si="55"/>
        <v>-245992.45610448299</v>
      </c>
      <c r="MM9" s="20">
        <f t="shared" si="55"/>
        <v>-223368.39909152477</v>
      </c>
      <c r="MN9" s="20">
        <f t="shared" si="55"/>
        <v>-41924.267438082956</v>
      </c>
      <c r="MR9" s="338">
        <f t="shared" si="76"/>
        <v>4</v>
      </c>
      <c r="MS9" s="346" t="s">
        <v>203</v>
      </c>
      <c r="MT9" s="20">
        <f>MT7+MT8</f>
        <v>333475187.01949108</v>
      </c>
      <c r="MX9" s="283">
        <f t="shared" ref="MX9:MX24" si="85">MX8+1</f>
        <v>3</v>
      </c>
      <c r="MY9" s="388" t="s">
        <v>204</v>
      </c>
      <c r="MZ9" s="17">
        <f>N9</f>
        <v>131674066.73842122</v>
      </c>
      <c r="NA9" s="381">
        <f t="shared" si="56"/>
        <v>6.0116981079121441</v>
      </c>
      <c r="NB9" s="97"/>
      <c r="NC9" s="18">
        <f>MZ30</f>
        <v>108086212.29854272</v>
      </c>
      <c r="ND9" s="381">
        <f t="shared" si="57"/>
        <v>4.934773369287452</v>
      </c>
      <c r="NH9" s="283">
        <f t="shared" ref="NH9:NH24" si="86">NH8+1</f>
        <v>3</v>
      </c>
      <c r="NI9" s="388" t="str">
        <f t="shared" si="58"/>
        <v>Base Handling Commissions (HC)</v>
      </c>
      <c r="NJ9" s="17">
        <v>101297214.72157842</v>
      </c>
      <c r="NK9" s="17">
        <f>MZ9</f>
        <v>131674066.73842122</v>
      </c>
      <c r="NL9" s="17">
        <f t="shared" si="77"/>
        <v>30376852.016842797</v>
      </c>
      <c r="NM9" s="383">
        <f t="shared" si="78"/>
        <v>0.29987845273273733</v>
      </c>
    </row>
    <row r="10" spans="2:387" x14ac:dyDescent="0.3">
      <c r="B10" s="265">
        <f t="shared" si="79"/>
        <v>5</v>
      </c>
      <c r="C10" s="384"/>
      <c r="D10" s="97" t="s">
        <v>205</v>
      </c>
      <c r="E10" s="286"/>
      <c r="F10" s="18">
        <f>HA14+GE14</f>
        <v>2435490.3939</v>
      </c>
      <c r="G10" s="313">
        <f t="shared" si="22"/>
        <v>0.11718165526042415</v>
      </c>
      <c r="H10" s="18">
        <f>HE14</f>
        <v>215937.90000000002</v>
      </c>
      <c r="I10" s="309">
        <f t="shared" si="23"/>
        <v>1.0364714334689638E-2</v>
      </c>
      <c r="J10" s="290">
        <f t="shared" si="59"/>
        <v>-2219552.4939000001</v>
      </c>
      <c r="K10" s="18">
        <f>IO26</f>
        <v>214148.01155062864</v>
      </c>
      <c r="L10" s="309">
        <f t="shared" si="24"/>
        <v>1.0137206551707684E-2</v>
      </c>
      <c r="M10" s="290">
        <f t="shared" si="60"/>
        <v>-1789.8884493713849</v>
      </c>
      <c r="N10" s="18">
        <f>KS26</f>
        <v>205696.30466724839</v>
      </c>
      <c r="O10" s="309">
        <f t="shared" si="25"/>
        <v>9.391250047962511E-3</v>
      </c>
      <c r="P10" s="290">
        <f t="shared" si="61"/>
        <v>-8451.7068833802477</v>
      </c>
      <c r="Q10" s="18">
        <f t="shared" si="62"/>
        <v>-2229794.0892327516</v>
      </c>
      <c r="R10" s="310">
        <f t="shared" si="63"/>
        <v>-0.91985733579977658</v>
      </c>
      <c r="V10" s="249">
        <f>V8+1</f>
        <v>3</v>
      </c>
      <c r="W10" s="345" t="s">
        <v>176</v>
      </c>
      <c r="X10" s="20">
        <v>-3111364.09752667</v>
      </c>
      <c r="Y10" s="20">
        <v>1633.1694328281737</v>
      </c>
      <c r="Z10" s="20">
        <v>6268605.8697440196</v>
      </c>
      <c r="AA10" s="20">
        <f>SUM(X10:Z10)</f>
        <v>3158874.9416501778</v>
      </c>
      <c r="AB10" s="20"/>
      <c r="AF10" s="385">
        <f t="shared" si="80"/>
        <v>4</v>
      </c>
      <c r="AG10" s="282" t="s">
        <v>26</v>
      </c>
      <c r="AH10" s="97"/>
      <c r="AI10" s="97"/>
      <c r="AJ10" s="97"/>
      <c r="AN10" s="283">
        <v>5</v>
      </c>
      <c r="AO10" s="390"/>
      <c r="AP10" s="97"/>
      <c r="AQ10" s="97" t="s">
        <v>205</v>
      </c>
      <c r="AR10" s="286"/>
      <c r="AS10" s="392">
        <v>351000.77</v>
      </c>
      <c r="AT10" s="393">
        <v>3.4227935612112924E-2</v>
      </c>
      <c r="AU10" s="394"/>
      <c r="AV10" s="392">
        <v>392967.44999999995</v>
      </c>
      <c r="AW10" s="393">
        <v>3.6413574986312203E-2</v>
      </c>
      <c r="AX10" s="383">
        <f>AW10/AT10-1</f>
        <v>6.3855424965384211E-2</v>
      </c>
      <c r="AY10" s="394"/>
      <c r="AZ10" s="392">
        <v>419971.50999999995</v>
      </c>
      <c r="BA10" s="393">
        <v>3.2552478729062043E-2</v>
      </c>
      <c r="BB10" s="383">
        <f>BA10/AW10-1</f>
        <v>-0.10603452857077444</v>
      </c>
      <c r="BC10" s="394"/>
      <c r="BD10" s="392">
        <v>465783.3236</v>
      </c>
      <c r="BE10" s="393">
        <v>3.1672779070028398E-2</v>
      </c>
      <c r="BF10" s="383">
        <f>BE10/BA10-1</f>
        <v>-2.7024045276413E-2</v>
      </c>
      <c r="BG10" s="394"/>
      <c r="BH10" s="392">
        <v>1360261.3124000002</v>
      </c>
      <c r="BI10" s="393">
        <v>8.9511992892331985E-2</v>
      </c>
      <c r="BJ10" s="383">
        <f>BI10/BE10-1</f>
        <v>1.8261489998847686</v>
      </c>
      <c r="BK10" s="394"/>
      <c r="BL10" s="392">
        <v>1390376.9787000001</v>
      </c>
      <c r="BM10" s="393">
        <v>8.2655695684016636E-2</v>
      </c>
      <c r="BN10" s="383">
        <f>BM10/BI10-1</f>
        <v>-7.6596408891960732E-2</v>
      </c>
      <c r="BO10" s="394"/>
      <c r="BP10" s="392">
        <v>770218.05</v>
      </c>
      <c r="BQ10" s="393">
        <v>4.1525871275282955E-2</v>
      </c>
      <c r="BR10" s="383">
        <f>BQ10/BM10-1</f>
        <v>-0.49760423729259196</v>
      </c>
      <c r="BS10" s="394"/>
      <c r="BT10" s="97">
        <v>1472526.2590000001</v>
      </c>
      <c r="BU10" s="97">
        <v>7.5050191908761346E-2</v>
      </c>
      <c r="BV10" s="97">
        <f>BU10/BQ10-1</f>
        <v>0.8073116735164747</v>
      </c>
      <c r="BW10" s="18">
        <v>11886052.370000001</v>
      </c>
      <c r="BX10" s="19">
        <v>0.6140398725184244</v>
      </c>
      <c r="BY10" s="19">
        <f t="shared" si="65"/>
        <v>7.1817228830662252</v>
      </c>
      <c r="BZ10" s="19">
        <v>6021594.1700000009</v>
      </c>
      <c r="CA10" s="19">
        <v>0.29519107155012259</v>
      </c>
      <c r="CB10" s="19">
        <f t="shared" si="66"/>
        <v>-0.51926400098510661</v>
      </c>
      <c r="CC10" s="18">
        <f t="shared" si="26"/>
        <v>2435490.3939</v>
      </c>
      <c r="CD10" s="19">
        <f t="shared" si="26"/>
        <v>0.11718165526042415</v>
      </c>
      <c r="CE10" s="395">
        <f t="shared" si="67"/>
        <v>-0.60303116674541068</v>
      </c>
      <c r="CF10" s="396">
        <f t="shared" si="68"/>
        <v>5.9387038492821533</v>
      </c>
      <c r="CG10" s="395">
        <f t="shared" si="69"/>
        <v>0.11362170310487252</v>
      </c>
      <c r="CV10" s="106"/>
      <c r="CX10" s="438"/>
      <c r="CY10" s="439"/>
      <c r="CZ10" s="440"/>
      <c r="DA10" s="518"/>
      <c r="DB10" s="440"/>
      <c r="DF10" s="106"/>
      <c r="DK10" s="518"/>
      <c r="DQ10" s="283">
        <v>5</v>
      </c>
      <c r="DR10" s="441" t="s">
        <v>206</v>
      </c>
      <c r="DS10" s="17"/>
      <c r="DT10" s="17"/>
      <c r="DU10" s="17"/>
      <c r="DV10" s="17"/>
      <c r="DW10" s="18">
        <v>2956744.1022613361</v>
      </c>
      <c r="DX10" s="17">
        <v>4613072.506473586</v>
      </c>
      <c r="DY10" s="17">
        <v>6654109.4956538649</v>
      </c>
      <c r="DZ10" s="17">
        <v>14223926.104388788</v>
      </c>
      <c r="EN10" s="103"/>
      <c r="EO10" s="408"/>
      <c r="FB10" s="442" t="s">
        <v>207</v>
      </c>
      <c r="FD10" s="103"/>
      <c r="FE10" s="408"/>
      <c r="FG10" s="283">
        <f t="shared" si="84"/>
        <v>5</v>
      </c>
      <c r="FH10" s="406"/>
      <c r="FI10" s="407" t="s">
        <v>208</v>
      </c>
      <c r="FJ10" s="17">
        <v>38248.1</v>
      </c>
      <c r="FK10" s="17">
        <v>179410.81</v>
      </c>
      <c r="FL10" s="17">
        <v>22647.81</v>
      </c>
      <c r="FM10" s="290">
        <f t="shared" si="28"/>
        <v>240306.72</v>
      </c>
      <c r="FN10" s="17">
        <v>0</v>
      </c>
      <c r="FO10" s="17">
        <v>0</v>
      </c>
      <c r="FP10" s="17">
        <v>0</v>
      </c>
      <c r="FQ10" s="17">
        <v>0</v>
      </c>
      <c r="FR10" s="17">
        <v>0</v>
      </c>
      <c r="FS10" s="103"/>
      <c r="FT10" s="408"/>
      <c r="FV10" s="283">
        <v>5</v>
      </c>
      <c r="FW10" s="286" t="s">
        <v>209</v>
      </c>
      <c r="FX10" s="17">
        <v>0</v>
      </c>
      <c r="FY10" s="17">
        <v>0</v>
      </c>
      <c r="FZ10" s="17">
        <v>0</v>
      </c>
      <c r="GA10" s="290">
        <v>0</v>
      </c>
      <c r="GB10" s="17">
        <v>0</v>
      </c>
      <c r="GC10" s="17">
        <v>0</v>
      </c>
      <c r="GD10" s="17">
        <v>0</v>
      </c>
      <c r="GE10" s="290">
        <f t="shared" si="1"/>
        <v>0</v>
      </c>
      <c r="GF10" s="300"/>
      <c r="GG10" s="301"/>
      <c r="GI10" s="283">
        <v>5</v>
      </c>
      <c r="GJ10" s="97" t="s">
        <v>210</v>
      </c>
      <c r="GK10" s="17">
        <v>0</v>
      </c>
      <c r="GL10" s="17">
        <v>0</v>
      </c>
      <c r="GM10" s="17">
        <v>0</v>
      </c>
      <c r="GN10" s="290">
        <f t="shared" si="2"/>
        <v>0</v>
      </c>
      <c r="GO10" s="17">
        <v>0</v>
      </c>
      <c r="GP10" s="17">
        <v>0</v>
      </c>
      <c r="GQ10" s="17">
        <v>0</v>
      </c>
      <c r="GR10" s="290">
        <f t="shared" si="3"/>
        <v>0</v>
      </c>
      <c r="GS10" s="300"/>
      <c r="GT10" s="301"/>
      <c r="GV10" s="283">
        <v>5</v>
      </c>
      <c r="GW10" s="286" t="s">
        <v>211</v>
      </c>
      <c r="GX10" s="17">
        <v>0</v>
      </c>
      <c r="GY10" s="17">
        <v>9554</v>
      </c>
      <c r="GZ10" s="17">
        <v>149254.37</v>
      </c>
      <c r="HA10" s="290">
        <f t="shared" si="4"/>
        <v>158808.37</v>
      </c>
      <c r="HB10" s="17">
        <v>0</v>
      </c>
      <c r="HC10" s="17">
        <v>9554</v>
      </c>
      <c r="HD10" s="17">
        <v>149254.37</v>
      </c>
      <c r="HE10" s="17">
        <f>SUM(HB10:HD10)</f>
        <v>158808.37</v>
      </c>
      <c r="HF10" s="300"/>
      <c r="HG10" s="301"/>
      <c r="HS10" s="305"/>
      <c r="HT10" s="443"/>
      <c r="HW10" s="283">
        <v>5</v>
      </c>
      <c r="HX10" s="306">
        <v>5</v>
      </c>
      <c r="HY10" s="306">
        <v>10</v>
      </c>
      <c r="HZ10" s="306">
        <v>11</v>
      </c>
      <c r="IA10" s="307">
        <v>27116157</v>
      </c>
      <c r="IB10" s="307">
        <v>29685742</v>
      </c>
      <c r="IC10" s="309">
        <f t="shared" si="5"/>
        <v>1.1000000000000001</v>
      </c>
      <c r="ID10" s="309">
        <f t="shared" si="6"/>
        <v>1.0947621375698628</v>
      </c>
      <c r="IE10" s="310">
        <v>1</v>
      </c>
      <c r="IF10" s="310">
        <v>0</v>
      </c>
      <c r="IG10" s="310">
        <v>0</v>
      </c>
      <c r="IK10" s="410">
        <v>5</v>
      </c>
      <c r="IL10" s="317">
        <v>5</v>
      </c>
      <c r="IM10" s="313">
        <f t="shared" si="7"/>
        <v>1.0947621375698628</v>
      </c>
      <c r="IN10" s="17">
        <v>0</v>
      </c>
      <c r="IO10" s="290">
        <f t="shared" si="29"/>
        <v>0</v>
      </c>
      <c r="IP10" s="17">
        <v>2939956</v>
      </c>
      <c r="IQ10" s="290">
        <v>3212808</v>
      </c>
      <c r="IR10" s="17">
        <v>1207459.2149000003</v>
      </c>
      <c r="IS10" s="290">
        <v>1313046</v>
      </c>
      <c r="IT10" s="17">
        <v>225000</v>
      </c>
      <c r="IU10" s="17">
        <v>247500</v>
      </c>
      <c r="IV10" s="17">
        <f t="shared" si="30"/>
        <v>1432459.2149000003</v>
      </c>
      <c r="IW10" s="17">
        <f t="shared" si="30"/>
        <v>1560546</v>
      </c>
      <c r="IX10" s="314"/>
      <c r="IY10" s="315"/>
      <c r="IZ10" s="314"/>
      <c r="JA10" s="316">
        <v>5</v>
      </c>
      <c r="JB10" s="317">
        <v>5</v>
      </c>
      <c r="JC10" s="318">
        <f t="shared" si="8"/>
        <v>1.1000000000000001</v>
      </c>
      <c r="JD10" s="319">
        <f t="shared" si="8"/>
        <v>1.0947621375698628</v>
      </c>
      <c r="JE10" s="17">
        <v>376466.18503357458</v>
      </c>
      <c r="JF10" s="290">
        <f t="shared" si="70"/>
        <v>412140.92545012763</v>
      </c>
      <c r="JG10" s="17">
        <v>40193.666000000005</v>
      </c>
      <c r="JH10" s="290">
        <f t="shared" si="31"/>
        <v>44002.503706929121</v>
      </c>
      <c r="JI10" s="17">
        <v>312146.12896642543</v>
      </c>
      <c r="JJ10" s="290">
        <f t="shared" si="32"/>
        <v>343360.74186306802</v>
      </c>
      <c r="JK10" s="17">
        <v>390543.88054603967</v>
      </c>
      <c r="JL10" s="290">
        <v>418603.62896724488</v>
      </c>
      <c r="JM10" s="17">
        <v>78887.505000000005</v>
      </c>
      <c r="JN10" s="290">
        <f t="shared" si="33"/>
        <v>86363.053601353255</v>
      </c>
      <c r="JO10" s="17">
        <v>67866.460000000021</v>
      </c>
      <c r="JP10" s="290">
        <f t="shared" si="34"/>
        <v>74297.630818899619</v>
      </c>
      <c r="JQ10" s="17">
        <v>71839.23</v>
      </c>
      <c r="JR10" s="290">
        <f t="shared" si="35"/>
        <v>78646.868996173012</v>
      </c>
      <c r="JS10" s="17">
        <v>222001.96544999999</v>
      </c>
      <c r="JT10" s="290">
        <f t="shared" si="36"/>
        <v>243039.34624075281</v>
      </c>
      <c r="JU10" s="17">
        <f t="shared" si="37"/>
        <v>1559945.0209960397</v>
      </c>
      <c r="JV10" s="17">
        <f t="shared" si="37"/>
        <v>1700454.6996445484</v>
      </c>
      <c r="JW10" s="320">
        <f t="shared" si="9"/>
        <v>5.7281866144513032</v>
      </c>
      <c r="KA10" s="283">
        <v>5</v>
      </c>
      <c r="KB10" s="306">
        <v>5</v>
      </c>
      <c r="KC10" s="97">
        <f t="shared" si="10"/>
        <v>11</v>
      </c>
      <c r="KD10" s="97">
        <f t="shared" si="11"/>
        <v>11</v>
      </c>
      <c r="KE10" s="289">
        <f t="shared" si="12"/>
        <v>29685742</v>
      </c>
      <c r="KF10" s="289">
        <f t="shared" si="13"/>
        <v>30779052.30799168</v>
      </c>
      <c r="KG10" s="321">
        <f t="shared" si="38"/>
        <v>1</v>
      </c>
      <c r="KH10" s="321">
        <f t="shared" si="39"/>
        <v>1.036829475510219</v>
      </c>
      <c r="KI10" s="321">
        <f t="shared" si="40"/>
        <v>1.0462729306595415</v>
      </c>
      <c r="KJ10" s="306" t="s">
        <v>440</v>
      </c>
      <c r="KK10" s="322"/>
      <c r="KL10" s="323"/>
      <c r="KM10" s="322"/>
      <c r="KN10" s="283">
        <v>5</v>
      </c>
      <c r="KO10" s="306">
        <v>5</v>
      </c>
      <c r="KP10" s="324" t="str">
        <f t="shared" si="14"/>
        <v>Q4</v>
      </c>
      <c r="KQ10" s="325">
        <f t="shared" si="15"/>
        <v>1.0462729306595415</v>
      </c>
      <c r="KR10" s="17">
        <f t="shared" si="41"/>
        <v>0</v>
      </c>
      <c r="KS10" s="17">
        <f t="shared" si="42"/>
        <v>0</v>
      </c>
      <c r="KT10" s="17">
        <f t="shared" si="16"/>
        <v>3212808</v>
      </c>
      <c r="KU10" s="17">
        <f t="shared" si="43"/>
        <v>3370710.1687893751</v>
      </c>
      <c r="KV10" s="17">
        <f t="shared" si="17"/>
        <v>1313046</v>
      </c>
      <c r="KW10" s="17">
        <f t="shared" si="18"/>
        <v>1850343.7052328251</v>
      </c>
      <c r="KX10" s="17">
        <f t="shared" si="44"/>
        <v>247500</v>
      </c>
      <c r="KY10" s="17">
        <f t="shared" si="45"/>
        <v>66874.61532168214</v>
      </c>
      <c r="KZ10" s="17">
        <f t="shared" si="46"/>
        <v>1560546</v>
      </c>
      <c r="LA10" s="17">
        <f t="shared" si="46"/>
        <v>1917218.3205545072</v>
      </c>
      <c r="LB10" s="326"/>
      <c r="LC10" s="323"/>
      <c r="LD10" s="322"/>
      <c r="LE10" s="364">
        <f t="shared" si="71"/>
        <v>5</v>
      </c>
      <c r="LF10" s="365">
        <v>4</v>
      </c>
      <c r="LG10" s="411">
        <f t="shared" si="72"/>
        <v>1</v>
      </c>
      <c r="LH10" s="411">
        <f t="shared" si="72"/>
        <v>1.036829475510219</v>
      </c>
      <c r="LI10" s="412">
        <v>92.086954396969617</v>
      </c>
      <c r="LJ10" s="343">
        <f t="shared" si="73"/>
        <v>515048.79222315393</v>
      </c>
      <c r="LK10" s="412">
        <v>92.086954396969617</v>
      </c>
      <c r="LL10" s="343">
        <f t="shared" si="47"/>
        <v>50448.385062514106</v>
      </c>
      <c r="LM10" s="412">
        <v>92.086954396969617</v>
      </c>
      <c r="LN10" s="343">
        <f t="shared" si="48"/>
        <v>376886.08700568299</v>
      </c>
      <c r="LO10" s="412">
        <v>119.50379714140099</v>
      </c>
      <c r="LP10" s="343">
        <f t="shared" si="74"/>
        <v>385072.305675574</v>
      </c>
      <c r="LQ10" s="412">
        <v>120.433043671646</v>
      </c>
      <c r="LR10" s="343">
        <f t="shared" si="49"/>
        <v>33732.76623112661</v>
      </c>
      <c r="LS10" s="412">
        <v>146.40099357416699</v>
      </c>
      <c r="LT10" s="343">
        <f t="shared" si="50"/>
        <v>39737.599794477588</v>
      </c>
      <c r="LU10" s="412">
        <v>116.183248398364</v>
      </c>
      <c r="LV10" s="343">
        <f t="shared" si="51"/>
        <v>34850.130008141321</v>
      </c>
      <c r="LW10" s="412">
        <v>117.5956284153</v>
      </c>
      <c r="LX10" s="343">
        <f t="shared" si="52"/>
        <v>136913.24252657962</v>
      </c>
      <c r="LY10" s="20">
        <f t="shared" si="53"/>
        <v>1506479.2510964985</v>
      </c>
      <c r="LZ10" s="20">
        <f t="shared" si="75"/>
        <v>1572689.3085272501</v>
      </c>
      <c r="MA10" s="103"/>
      <c r="MB10" s="335"/>
      <c r="MD10" s="283">
        <v>5</v>
      </c>
      <c r="ME10" s="336">
        <v>5</v>
      </c>
      <c r="MF10" s="17">
        <f t="shared" si="19"/>
        <v>1432459.2149000003</v>
      </c>
      <c r="MG10" s="17">
        <f t="shared" si="19"/>
        <v>1560546</v>
      </c>
      <c r="MH10" s="290">
        <f t="shared" si="20"/>
        <v>1917218.3205545072</v>
      </c>
      <c r="MI10" s="17">
        <f t="shared" si="21"/>
        <v>1559945.0209960397</v>
      </c>
      <c r="MJ10" s="17">
        <f t="shared" si="21"/>
        <v>1700454.6996445484</v>
      </c>
      <c r="MK10" s="290">
        <f t="shared" si="54"/>
        <v>1779139.7220508922</v>
      </c>
      <c r="ML10" s="17">
        <f t="shared" si="55"/>
        <v>-127485.80609603948</v>
      </c>
      <c r="MM10" s="17">
        <f t="shared" si="55"/>
        <v>-139908.69964454835</v>
      </c>
      <c r="MN10" s="17">
        <f t="shared" si="55"/>
        <v>138078.59850361501</v>
      </c>
      <c r="MR10" s="283">
        <f>MR9+1</f>
        <v>5</v>
      </c>
      <c r="MS10" s="444" t="s">
        <v>212</v>
      </c>
      <c r="MT10" s="445"/>
      <c r="MX10" s="338">
        <f t="shared" si="85"/>
        <v>4</v>
      </c>
      <c r="MY10" s="346" t="s">
        <v>205</v>
      </c>
      <c r="MZ10" s="20">
        <f>N10</f>
        <v>205696.30466724839</v>
      </c>
      <c r="NA10" s="414">
        <f t="shared" si="56"/>
        <v>9.391250047962511E-3</v>
      </c>
      <c r="NC10" s="15">
        <f>MZ10</f>
        <v>205696.30466724839</v>
      </c>
      <c r="ND10" s="414">
        <f t="shared" si="57"/>
        <v>9.391250047962511E-3</v>
      </c>
      <c r="NH10" s="338">
        <f t="shared" si="86"/>
        <v>4</v>
      </c>
      <c r="NI10" s="346" t="str">
        <f t="shared" si="58"/>
        <v>Misc Revenue</v>
      </c>
      <c r="NJ10" s="20">
        <v>588123.20368232101</v>
      </c>
      <c r="NK10" s="20">
        <f>MZ10</f>
        <v>205696.30466724839</v>
      </c>
      <c r="NL10" s="20">
        <f t="shared" si="77"/>
        <v>-382426.89901507262</v>
      </c>
      <c r="NM10" s="352">
        <f t="shared" si="78"/>
        <v>-0.65024963582569895</v>
      </c>
    </row>
    <row r="11" spans="2:387" x14ac:dyDescent="0.3">
      <c r="B11" s="226">
        <f>B10+1</f>
        <v>6</v>
      </c>
      <c r="C11" s="339"/>
      <c r="D11" s="518" t="s">
        <v>45</v>
      </c>
      <c r="E11" s="340"/>
      <c r="F11" s="15">
        <v>4535083.1237580404</v>
      </c>
      <c r="G11" s="341">
        <f t="shared" si="22"/>
        <v>0.21820186542990008</v>
      </c>
      <c r="H11" s="15">
        <v>4550161.0413039094</v>
      </c>
      <c r="I11" s="342">
        <f t="shared" si="23"/>
        <v>0.2184013059770839</v>
      </c>
      <c r="J11" s="343">
        <f t="shared" si="59"/>
        <v>15077.917545869015</v>
      </c>
      <c r="K11" s="15">
        <v>4747991.9641978256</v>
      </c>
      <c r="L11" s="342">
        <f t="shared" si="24"/>
        <v>0.22475751653450432</v>
      </c>
      <c r="M11" s="343">
        <f t="shared" si="60"/>
        <v>197830.92289391626</v>
      </c>
      <c r="N11" s="15">
        <f>MZ11</f>
        <v>4758928.0499999989</v>
      </c>
      <c r="O11" s="342">
        <f t="shared" si="25"/>
        <v>0.21727314620508431</v>
      </c>
      <c r="P11" s="343">
        <f t="shared" si="61"/>
        <v>10936.085802173242</v>
      </c>
      <c r="Q11" s="15">
        <f t="shared" si="62"/>
        <v>223844.92624195851</v>
      </c>
      <c r="R11" s="344">
        <f>O11/G11-1</f>
        <v>-4.2562387034869031E-3</v>
      </c>
      <c r="V11" s="385">
        <f t="shared" si="64"/>
        <v>4</v>
      </c>
      <c r="W11" s="386" t="s">
        <v>185</v>
      </c>
      <c r="X11" s="309">
        <f>X10/$H$24*100</f>
        <v>-0.149341083997174</v>
      </c>
      <c r="Y11" s="309">
        <f>Y10/$H$24*100</f>
        <v>7.8389827035509342E-5</v>
      </c>
      <c r="Z11" s="309">
        <f>Z10/$H$24*100</f>
        <v>0.30088423160851074</v>
      </c>
      <c r="AA11" s="309">
        <f>AA10/$H$24*100</f>
        <v>0.15162153743837226</v>
      </c>
      <c r="AB11" s="342"/>
      <c r="AC11" s="348"/>
      <c r="AF11" s="249">
        <f t="shared" si="80"/>
        <v>5</v>
      </c>
      <c r="AG11" s="346" t="s">
        <v>78</v>
      </c>
      <c r="AH11" s="105">
        <f>CQ9</f>
        <v>1771580.4609369074</v>
      </c>
      <c r="AI11" s="105">
        <f>DB9</f>
        <v>110738.507</v>
      </c>
      <c r="AJ11" s="347">
        <f>DL9</f>
        <v>532725.79619268049</v>
      </c>
      <c r="AN11" s="446">
        <v>6</v>
      </c>
      <c r="AO11" s="447"/>
      <c r="AP11" s="447"/>
      <c r="AQ11" s="447" t="s">
        <v>213</v>
      </c>
      <c r="AR11" s="448"/>
      <c r="AS11" s="449">
        <v>41149542.24840001</v>
      </c>
      <c r="AT11" s="450">
        <v>4.0127088112831091</v>
      </c>
      <c r="AU11" s="451"/>
      <c r="AV11" s="449">
        <v>43536109.595200002</v>
      </c>
      <c r="AW11" s="450">
        <v>4.0341900871360252</v>
      </c>
      <c r="AX11" s="452">
        <f>AW11/AT11-1</f>
        <v>5.3533104102929663E-3</v>
      </c>
      <c r="AY11" s="451"/>
      <c r="AZ11" s="449">
        <v>52475468.259999998</v>
      </c>
      <c r="BA11" s="450">
        <v>4.067434394135975</v>
      </c>
      <c r="BB11" s="452">
        <f>BA11/AW11-1</f>
        <v>8.2406397026151268E-3</v>
      </c>
      <c r="BC11" s="451"/>
      <c r="BD11" s="449">
        <v>60296489.323600002</v>
      </c>
      <c r="BE11" s="450">
        <v>4.1000982394224748</v>
      </c>
      <c r="BF11" s="452">
        <f>BE11/BA11-1</f>
        <v>8.0305770471900129E-3</v>
      </c>
      <c r="BG11" s="451"/>
      <c r="BH11" s="449">
        <v>61146922.538433343</v>
      </c>
      <c r="BI11" s="450">
        <v>4.0237731131168939</v>
      </c>
      <c r="BJ11" s="452">
        <f>BI11/BE11-1</f>
        <v>-1.8615438423331909E-2</v>
      </c>
      <c r="BK11" s="451"/>
      <c r="BL11" s="449">
        <v>67411697.978699997</v>
      </c>
      <c r="BM11" s="450">
        <v>4.0075180177968992</v>
      </c>
      <c r="BN11" s="452">
        <f>BM11/BI11-1</f>
        <v>-4.0397643860697885E-3</v>
      </c>
      <c r="BO11" s="451"/>
      <c r="BP11" s="449">
        <v>82733345.540000066</v>
      </c>
      <c r="BQ11" s="450">
        <v>4.4605216108185832</v>
      </c>
      <c r="BR11" s="452">
        <f>BQ11/BM11-1</f>
        <v>0.11303844200074709</v>
      </c>
      <c r="BS11" s="451"/>
      <c r="BT11" s="453">
        <v>96023263.244399965</v>
      </c>
      <c r="BU11" s="453">
        <v>4.8940141407676769</v>
      </c>
      <c r="BV11" s="453">
        <f>BU11/BQ11-1</f>
        <v>9.7184268516421479E-2</v>
      </c>
      <c r="BW11" s="22">
        <v>108271476.32980001</v>
      </c>
      <c r="BX11" s="23">
        <v>5.5933628300959608</v>
      </c>
      <c r="BY11" s="23">
        <f t="shared" si="65"/>
        <v>0.14289878803222744</v>
      </c>
      <c r="BZ11" s="23">
        <v>110405938.53159995</v>
      </c>
      <c r="CA11" s="23">
        <v>5.4123287588874414</v>
      </c>
      <c r="CB11" s="23">
        <f t="shared" si="66"/>
        <v>-3.2365873036956816E-2</v>
      </c>
      <c r="CC11" s="22">
        <f>F12</f>
        <v>104395539.42615813</v>
      </c>
      <c r="CD11" s="23">
        <f>G12</f>
        <v>5.0229071493781339</v>
      </c>
      <c r="CE11" s="352">
        <f t="shared" si="67"/>
        <v>-7.1950841653853459E-2</v>
      </c>
      <c r="CF11" s="454">
        <f t="shared" si="68"/>
        <v>1.5369793616651295</v>
      </c>
      <c r="CG11" s="352">
        <f t="shared" si="69"/>
        <v>5.3081666178149911E-2</v>
      </c>
      <c r="CP11" s="347"/>
      <c r="CT11" s="347"/>
      <c r="CV11" s="106"/>
      <c r="CX11" s="438"/>
      <c r="CY11" s="455"/>
      <c r="CZ11" s="105"/>
      <c r="DA11" s="518"/>
      <c r="DB11" s="105"/>
      <c r="DC11" s="344"/>
      <c r="DF11" s="106"/>
      <c r="DQ11" s="456">
        <v>6</v>
      </c>
      <c r="DR11" s="457" t="s">
        <v>214</v>
      </c>
      <c r="DS11" s="458"/>
      <c r="DT11" s="458"/>
      <c r="DU11" s="458"/>
      <c r="DV11" s="458"/>
      <c r="DW11" s="459">
        <v>1232847.5543047281</v>
      </c>
      <c r="DX11" s="458">
        <v>2154432.7668835837</v>
      </c>
      <c r="DY11" s="458">
        <v>3352134.5294021191</v>
      </c>
      <c r="DZ11" s="458">
        <v>6739414.8505904311</v>
      </c>
      <c r="EN11" s="103"/>
      <c r="EO11" s="408"/>
      <c r="FD11" s="103"/>
      <c r="FE11" s="408"/>
      <c r="FG11" s="338">
        <f t="shared" si="84"/>
        <v>6</v>
      </c>
      <c r="FH11" s="360"/>
      <c r="FI11" s="361" t="s">
        <v>215</v>
      </c>
      <c r="FJ11" s="20">
        <v>47401.000000000007</v>
      </c>
      <c r="FK11" s="20">
        <v>42434.12000000001</v>
      </c>
      <c r="FL11" s="20">
        <v>52030.61</v>
      </c>
      <c r="FM11" s="343">
        <f t="shared" si="28"/>
        <v>141865.73000000004</v>
      </c>
      <c r="FN11" s="20">
        <v>47464.545454545463</v>
      </c>
      <c r="FO11" s="20">
        <v>42434.12</v>
      </c>
      <c r="FP11" s="20">
        <v>52030.609999999993</v>
      </c>
      <c r="FQ11" s="20">
        <v>141929.27545454545</v>
      </c>
      <c r="FR11" s="20">
        <v>141929.27545454545</v>
      </c>
      <c r="FS11" s="103"/>
      <c r="FT11" s="301"/>
      <c r="FV11" s="338">
        <v>6</v>
      </c>
      <c r="FW11" s="340" t="s">
        <v>216</v>
      </c>
      <c r="FX11" s="20">
        <v>50000</v>
      </c>
      <c r="FY11" s="20">
        <v>60000</v>
      </c>
      <c r="FZ11" s="20">
        <v>40000</v>
      </c>
      <c r="GA11" s="343">
        <v>150000</v>
      </c>
      <c r="GB11" s="20">
        <v>0</v>
      </c>
      <c r="GC11" s="20">
        <v>0</v>
      </c>
      <c r="GD11" s="20">
        <v>0</v>
      </c>
      <c r="GE11" s="343">
        <f t="shared" ref="GE11:GE12" si="87">SUM(GB11:GD11)</f>
        <v>0</v>
      </c>
      <c r="GF11" s="300"/>
      <c r="GG11" s="301"/>
      <c r="GI11" s="456">
        <v>6</v>
      </c>
      <c r="GJ11" s="460" t="s">
        <v>217</v>
      </c>
      <c r="GK11" s="20">
        <v>0</v>
      </c>
      <c r="GL11" s="20">
        <v>0</v>
      </c>
      <c r="GM11" s="20">
        <v>0</v>
      </c>
      <c r="GN11" s="343">
        <f t="shared" si="2"/>
        <v>0</v>
      </c>
      <c r="GO11" s="20">
        <v>0</v>
      </c>
      <c r="GP11" s="20">
        <v>0</v>
      </c>
      <c r="GQ11" s="20">
        <v>0</v>
      </c>
      <c r="GR11" s="343">
        <f t="shared" ref="GR11" si="88">SUM(GO11:GQ11)</f>
        <v>0</v>
      </c>
      <c r="GS11" s="300"/>
      <c r="GT11" s="301"/>
      <c r="GV11" s="338">
        <v>6</v>
      </c>
      <c r="GW11" s="340" t="s">
        <v>218</v>
      </c>
      <c r="GX11" s="20">
        <v>63092.39</v>
      </c>
      <c r="GY11" s="20">
        <v>69565.040000000008</v>
      </c>
      <c r="GZ11" s="20">
        <v>89479.24</v>
      </c>
      <c r="HA11" s="343">
        <f t="shared" si="4"/>
        <v>222136.66999999998</v>
      </c>
      <c r="HB11" s="20">
        <v>9823</v>
      </c>
      <c r="HC11" s="20">
        <v>5642.7500000000073</v>
      </c>
      <c r="HD11" s="20">
        <v>26053.030000000021</v>
      </c>
      <c r="HE11" s="20">
        <f>SUM(HB11:HD11)</f>
        <v>41518.780000000028</v>
      </c>
      <c r="HF11" s="300"/>
      <c r="HG11" s="301"/>
      <c r="HW11" s="338">
        <v>6</v>
      </c>
      <c r="HX11" s="322">
        <v>6</v>
      </c>
      <c r="HY11" s="322">
        <v>10</v>
      </c>
      <c r="HZ11" s="322">
        <v>10</v>
      </c>
      <c r="IA11" s="347">
        <v>30951872</v>
      </c>
      <c r="IB11" s="347">
        <v>32402786</v>
      </c>
      <c r="IC11" s="342">
        <f t="shared" si="5"/>
        <v>1</v>
      </c>
      <c r="ID11" s="342">
        <f t="shared" si="6"/>
        <v>1.0468764538700599</v>
      </c>
      <c r="IE11" s="344">
        <v>0.9</v>
      </c>
      <c r="IF11" s="344">
        <v>0.1</v>
      </c>
      <c r="IG11" s="344">
        <v>0</v>
      </c>
      <c r="IK11" s="364">
        <v>6</v>
      </c>
      <c r="IL11" s="365">
        <v>6</v>
      </c>
      <c r="IM11" s="341">
        <f t="shared" si="7"/>
        <v>1.0468764538700599</v>
      </c>
      <c r="IN11" s="20">
        <v>0</v>
      </c>
      <c r="IO11" s="343">
        <f t="shared" si="29"/>
        <v>0</v>
      </c>
      <c r="IP11" s="20">
        <v>3369027</v>
      </c>
      <c r="IQ11" s="343">
        <v>3511615</v>
      </c>
      <c r="IR11" s="20">
        <v>1407569.3480000002</v>
      </c>
      <c r="IS11" s="343">
        <v>1440397</v>
      </c>
      <c r="IT11" s="20">
        <v>225000</v>
      </c>
      <c r="IU11" s="20">
        <v>225000</v>
      </c>
      <c r="IV11" s="20">
        <f t="shared" si="30"/>
        <v>1632569.3480000002</v>
      </c>
      <c r="IW11" s="20">
        <f t="shared" si="30"/>
        <v>1665397</v>
      </c>
      <c r="IX11" s="314"/>
      <c r="IY11" s="315"/>
      <c r="IZ11" s="314"/>
      <c r="JA11" s="366">
        <v>6</v>
      </c>
      <c r="JB11" s="365">
        <v>6</v>
      </c>
      <c r="JC11" s="367">
        <f t="shared" si="8"/>
        <v>1</v>
      </c>
      <c r="JD11" s="368">
        <f t="shared" si="8"/>
        <v>1.0468764538700599</v>
      </c>
      <c r="JE11" s="20">
        <v>638908.69272277597</v>
      </c>
      <c r="JF11" s="343">
        <f t="shared" si="70"/>
        <v>668858.46658437548</v>
      </c>
      <c r="JG11" s="20">
        <v>31460.6597</v>
      </c>
      <c r="JH11" s="343">
        <f t="shared" si="31"/>
        <v>32935.423863148702</v>
      </c>
      <c r="JI11" s="20">
        <v>378386.21757722402</v>
      </c>
      <c r="JJ11" s="343">
        <f t="shared" si="32"/>
        <v>378386.21757722402</v>
      </c>
      <c r="JK11" s="20">
        <v>469212.57936610642</v>
      </c>
      <c r="JL11" s="343">
        <v>466986.50599135744</v>
      </c>
      <c r="JM11" s="20">
        <v>81754.570000000007</v>
      </c>
      <c r="JN11" s="343">
        <f t="shared" si="33"/>
        <v>85586.934329271593</v>
      </c>
      <c r="JO11" s="20">
        <v>60206.102500000008</v>
      </c>
      <c r="JP11" s="343">
        <f t="shared" si="34"/>
        <v>63028.351086537354</v>
      </c>
      <c r="JQ11" s="20">
        <v>23702.44</v>
      </c>
      <c r="JR11" s="343">
        <f t="shared" si="35"/>
        <v>24813.526335267859</v>
      </c>
      <c r="JS11" s="20">
        <v>197875.27570000003</v>
      </c>
      <c r="JT11" s="343">
        <f t="shared" si="36"/>
        <v>207150.96693337648</v>
      </c>
      <c r="JU11" s="20">
        <f t="shared" si="37"/>
        <v>1881506.5375661065</v>
      </c>
      <c r="JV11" s="20">
        <f t="shared" si="37"/>
        <v>1927746.3927005585</v>
      </c>
      <c r="JW11" s="369">
        <f t="shared" si="9"/>
        <v>5.9493229770445</v>
      </c>
      <c r="KA11" s="338">
        <v>6</v>
      </c>
      <c r="KB11" s="322">
        <v>6</v>
      </c>
      <c r="KC11" s="518">
        <f t="shared" si="10"/>
        <v>10</v>
      </c>
      <c r="KD11" s="518">
        <f t="shared" si="11"/>
        <v>10</v>
      </c>
      <c r="KE11" s="370">
        <f t="shared" si="12"/>
        <v>32402786</v>
      </c>
      <c r="KF11" s="370">
        <f t="shared" si="13"/>
        <v>33596163.613449864</v>
      </c>
      <c r="KG11" s="371">
        <f t="shared" si="38"/>
        <v>1</v>
      </c>
      <c r="KH11" s="371">
        <f t="shared" si="39"/>
        <v>1.036829475510219</v>
      </c>
      <c r="KI11" s="371">
        <f t="shared" si="40"/>
        <v>0.93559212036168027</v>
      </c>
      <c r="KJ11" s="322" t="s">
        <v>441</v>
      </c>
      <c r="KK11" s="322"/>
      <c r="KL11" s="323"/>
      <c r="KM11" s="322"/>
      <c r="KN11" s="338">
        <v>6</v>
      </c>
      <c r="KO11" s="322">
        <v>6</v>
      </c>
      <c r="KP11" s="437" t="str">
        <f t="shared" si="14"/>
        <v>Q2</v>
      </c>
      <c r="KQ11" s="373">
        <f t="shared" si="15"/>
        <v>0.93559212036168027</v>
      </c>
      <c r="KR11" s="358">
        <f t="shared" si="41"/>
        <v>0</v>
      </c>
      <c r="KS11" s="358">
        <f t="shared" si="42"/>
        <v>0</v>
      </c>
      <c r="KT11" s="358">
        <f t="shared" si="16"/>
        <v>3511615</v>
      </c>
      <c r="KU11" s="358">
        <f t="shared" si="43"/>
        <v>3679220.8282112675</v>
      </c>
      <c r="KV11" s="358">
        <f t="shared" si="17"/>
        <v>1440397</v>
      </c>
      <c r="KW11" s="358">
        <f t="shared" si="18"/>
        <v>2019699.9322808341</v>
      </c>
      <c r="KX11" s="358">
        <f t="shared" si="44"/>
        <v>225000</v>
      </c>
      <c r="KY11" s="358">
        <f t="shared" si="45"/>
        <v>72995.441687150276</v>
      </c>
      <c r="KZ11" s="358">
        <f t="shared" si="46"/>
        <v>1665397</v>
      </c>
      <c r="LA11" s="358">
        <f t="shared" si="46"/>
        <v>2092695.3739679842</v>
      </c>
      <c r="LB11" s="326"/>
      <c r="LC11" s="323"/>
      <c r="LD11" s="322"/>
      <c r="LE11" s="374">
        <f t="shared" si="71"/>
        <v>6</v>
      </c>
      <c r="LF11" s="375">
        <v>5</v>
      </c>
      <c r="LG11" s="376">
        <f t="shared" si="72"/>
        <v>1</v>
      </c>
      <c r="LH11" s="376">
        <f t="shared" si="72"/>
        <v>1.036829475510219</v>
      </c>
      <c r="LI11" s="377">
        <v>92.086954396969617</v>
      </c>
      <c r="LJ11" s="290">
        <f t="shared" si="73"/>
        <v>435718.67736923363</v>
      </c>
      <c r="LK11" s="377">
        <v>92.086954396969617</v>
      </c>
      <c r="LL11" s="290">
        <f t="shared" si="47"/>
        <v>46519.798283022021</v>
      </c>
      <c r="LM11" s="377">
        <v>92.086954396969617</v>
      </c>
      <c r="LN11" s="290">
        <f t="shared" si="48"/>
        <v>350109.37346880755</v>
      </c>
      <c r="LO11" s="377">
        <v>119.50379714140099</v>
      </c>
      <c r="LP11" s="290">
        <f t="shared" si="74"/>
        <v>434609.88964075956</v>
      </c>
      <c r="LQ11" s="377">
        <v>120.433043671646</v>
      </c>
      <c r="LR11" s="290">
        <f t="shared" si="49"/>
        <v>92878.776781791661</v>
      </c>
      <c r="LS11" s="377">
        <v>146.40099357416699</v>
      </c>
      <c r="LT11" s="290">
        <f t="shared" si="50"/>
        <v>75146.789465369089</v>
      </c>
      <c r="LU11" s="377">
        <v>116.183248398364</v>
      </c>
      <c r="LV11" s="290">
        <f t="shared" si="51"/>
        <v>82753.613928024948</v>
      </c>
      <c r="LW11" s="377">
        <v>117.5956284153</v>
      </c>
      <c r="LX11" s="378">
        <f t="shared" si="52"/>
        <v>261402.80311388394</v>
      </c>
      <c r="LY11" s="379">
        <f t="shared" si="53"/>
        <v>1700454.6996445484</v>
      </c>
      <c r="LZ11" s="379">
        <f t="shared" si="75"/>
        <v>1779139.7220508922</v>
      </c>
      <c r="MA11" s="103"/>
      <c r="MB11" s="335"/>
      <c r="MD11" s="338">
        <v>6</v>
      </c>
      <c r="ME11" s="380">
        <v>6</v>
      </c>
      <c r="MF11" s="20">
        <f t="shared" si="19"/>
        <v>1632569.3480000002</v>
      </c>
      <c r="MG11" s="20">
        <f t="shared" si="19"/>
        <v>1665397</v>
      </c>
      <c r="MH11" s="343">
        <f t="shared" si="20"/>
        <v>2092695.3739679842</v>
      </c>
      <c r="MI11" s="20">
        <f t="shared" si="21"/>
        <v>1881506.5375661065</v>
      </c>
      <c r="MJ11" s="20">
        <f t="shared" si="21"/>
        <v>1927746.3927005585</v>
      </c>
      <c r="MK11" s="343">
        <f t="shared" si="54"/>
        <v>1803584.3350662959</v>
      </c>
      <c r="ML11" s="20">
        <f t="shared" si="55"/>
        <v>-248937.1895661063</v>
      </c>
      <c r="MM11" s="20">
        <f>MG11-MJ11</f>
        <v>-262349.39270055853</v>
      </c>
      <c r="MN11" s="20">
        <f t="shared" si="55"/>
        <v>289111.0389016883</v>
      </c>
      <c r="MR11" s="338">
        <f>MR10+1</f>
        <v>6</v>
      </c>
      <c r="MS11" s="346" t="s">
        <v>219</v>
      </c>
      <c r="MT11" s="462">
        <v>5.3900000000000003E-2</v>
      </c>
      <c r="MX11" s="283">
        <f>MX10+1</f>
        <v>5</v>
      </c>
      <c r="MY11" s="388" t="s">
        <v>45</v>
      </c>
      <c r="MZ11" s="17">
        <v>4758928.0499999989</v>
      </c>
      <c r="NA11" s="381">
        <f t="shared" si="56"/>
        <v>0.21727314620508431</v>
      </c>
      <c r="NB11" s="97"/>
      <c r="NC11" s="18">
        <f>MZ11</f>
        <v>4758928.0499999989</v>
      </c>
      <c r="ND11" s="381">
        <f t="shared" si="57"/>
        <v>0.21727314620508431</v>
      </c>
      <c r="NH11" s="283">
        <f t="shared" si="86"/>
        <v>5</v>
      </c>
      <c r="NI11" s="388" t="str">
        <f t="shared" si="58"/>
        <v>Depot Viability Handling Commissions</v>
      </c>
      <c r="NJ11" s="17">
        <v>4822773.09</v>
      </c>
      <c r="NK11" s="17">
        <f>NC11</f>
        <v>4758928.0499999989</v>
      </c>
      <c r="NL11" s="17">
        <f t="shared" si="77"/>
        <v>-63845.040000000969</v>
      </c>
      <c r="NM11" s="395">
        <f t="shared" si="78"/>
        <v>-1.3238242564715183E-2</v>
      </c>
    </row>
    <row r="12" spans="2:387" ht="17.25" thickBot="1" x14ac:dyDescent="0.35">
      <c r="B12" s="265">
        <f>B11+1</f>
        <v>7</v>
      </c>
      <c r="C12" s="285" t="s">
        <v>220</v>
      </c>
      <c r="D12" s="284"/>
      <c r="E12" s="297"/>
      <c r="F12" s="18">
        <f>F9+F10+F11</f>
        <v>104395539.42615813</v>
      </c>
      <c r="G12" s="313">
        <f t="shared" si="22"/>
        <v>5.0229071493781339</v>
      </c>
      <c r="H12" s="18">
        <f>H9+H10+H11</f>
        <v>97875787.022206366</v>
      </c>
      <c r="I12" s="309">
        <f t="shared" si="23"/>
        <v>4.69789959413374</v>
      </c>
      <c r="J12" s="290">
        <f t="shared" si="59"/>
        <v>-6519752.4039517641</v>
      </c>
      <c r="K12" s="18">
        <f>K9+K10+K11</f>
        <v>99929255.975748464</v>
      </c>
      <c r="L12" s="309">
        <f t="shared" si="24"/>
        <v>4.7303895144743775</v>
      </c>
      <c r="M12" s="290">
        <f t="shared" si="60"/>
        <v>2053468.9535420984</v>
      </c>
      <c r="N12" s="18">
        <f>N9+N10+N11</f>
        <v>136638691.09308848</v>
      </c>
      <c r="O12" s="309">
        <f t="shared" si="25"/>
        <v>6.2383625041651918</v>
      </c>
      <c r="P12" s="290">
        <f t="shared" si="61"/>
        <v>36709435.117340013</v>
      </c>
      <c r="Q12" s="18">
        <f t="shared" si="62"/>
        <v>32243151.666930348</v>
      </c>
      <c r="R12" s="310">
        <f t="shared" si="63"/>
        <v>0.2419824453528947</v>
      </c>
      <c r="V12" s="249">
        <f t="shared" si="64"/>
        <v>5</v>
      </c>
      <c r="W12" s="463" t="s">
        <v>134</v>
      </c>
      <c r="X12" s="20">
        <f>X10-X7</f>
        <v>-2880561.9937847108</v>
      </c>
      <c r="Y12" s="20">
        <f t="shared" ref="Y12:AA12" si="89">Y10-Y7</f>
        <v>-1675208.4981671721</v>
      </c>
      <c r="Z12" s="20">
        <f t="shared" si="89"/>
        <v>2369604.2779440177</v>
      </c>
      <c r="AA12" s="20">
        <f t="shared" si="89"/>
        <v>-2186166.2140078652</v>
      </c>
      <c r="AB12" s="20"/>
      <c r="AC12" s="349"/>
      <c r="AF12" s="385">
        <f t="shared" si="80"/>
        <v>6</v>
      </c>
      <c r="AG12" s="388" t="s">
        <v>186</v>
      </c>
      <c r="AH12" s="389">
        <f>AH11*3600/$H$24</f>
        <v>3.0612009950408803</v>
      </c>
      <c r="AI12" s="389">
        <f>AI11*3600/$H$24</f>
        <v>0.19135051175630136</v>
      </c>
      <c r="AJ12" s="389">
        <f>AJ11*3600/$H$24</f>
        <v>0.92052309976738722</v>
      </c>
      <c r="AL12" s="464"/>
      <c r="AN12" s="283">
        <v>7</v>
      </c>
      <c r="AO12" s="284"/>
      <c r="AP12" s="282" t="s">
        <v>221</v>
      </c>
      <c r="AQ12" s="281"/>
      <c r="AR12" s="286"/>
      <c r="AS12" s="392"/>
      <c r="AT12" s="393"/>
      <c r="AU12" s="394"/>
      <c r="AV12" s="392"/>
      <c r="AW12" s="393"/>
      <c r="AX12" s="383"/>
      <c r="AY12" s="394"/>
      <c r="AZ12" s="392"/>
      <c r="BA12" s="465"/>
      <c r="BB12" s="383"/>
      <c r="BC12" s="394"/>
      <c r="BD12" s="392"/>
      <c r="BE12" s="465"/>
      <c r="BF12" s="383"/>
      <c r="BG12" s="394"/>
      <c r="BH12" s="392"/>
      <c r="BI12" s="465"/>
      <c r="BJ12" s="383"/>
      <c r="BK12" s="394"/>
      <c r="BL12" s="392"/>
      <c r="BM12" s="465"/>
      <c r="BN12" s="383"/>
      <c r="BO12" s="394"/>
      <c r="BP12" s="392"/>
      <c r="BQ12" s="465"/>
      <c r="BR12" s="383"/>
      <c r="BS12" s="394"/>
      <c r="BT12" s="97"/>
      <c r="BU12" s="97"/>
      <c r="BV12" s="97"/>
      <c r="BW12" s="18"/>
      <c r="BX12" s="19"/>
      <c r="BY12" s="19"/>
      <c r="BZ12" s="19"/>
      <c r="CA12" s="19"/>
      <c r="CB12" s="19"/>
      <c r="CC12" s="18"/>
      <c r="CD12" s="19"/>
      <c r="CE12" s="466"/>
      <c r="CF12" s="396"/>
      <c r="CG12" s="466"/>
      <c r="CU12" s="347"/>
      <c r="CV12" s="106"/>
      <c r="DA12" s="518"/>
      <c r="DF12" s="106"/>
      <c r="DH12" s="976"/>
      <c r="DI12" s="976"/>
      <c r="DJ12" s="355"/>
      <c r="DK12" s="355"/>
      <c r="DL12" s="355"/>
      <c r="DM12" s="344"/>
      <c r="DQ12" s="467">
        <v>7</v>
      </c>
      <c r="DR12" s="468" t="s">
        <v>72</v>
      </c>
      <c r="DS12" s="469">
        <f t="shared" ref="DS12:DZ12" si="90">SUM(DS7:DS11)</f>
        <v>3530087.5569999996</v>
      </c>
      <c r="DT12" s="469">
        <f t="shared" si="90"/>
        <v>6491478.3399999999</v>
      </c>
      <c r="DU12" s="469">
        <f t="shared" si="90"/>
        <v>14676147.762500003</v>
      </c>
      <c r="DV12" s="470">
        <f t="shared" si="90"/>
        <v>24697713.659500003</v>
      </c>
      <c r="DW12" s="469">
        <f t="shared" si="90"/>
        <v>4189591.6565660639</v>
      </c>
      <c r="DX12" s="469">
        <f t="shared" si="90"/>
        <v>6767505.2733571697</v>
      </c>
      <c r="DY12" s="469">
        <f t="shared" si="90"/>
        <v>10006244.025055984</v>
      </c>
      <c r="DZ12" s="469">
        <f t="shared" si="90"/>
        <v>20963340.954979219</v>
      </c>
      <c r="EN12" s="103"/>
      <c r="EO12" s="408"/>
      <c r="FD12" s="103"/>
      <c r="FE12" s="408"/>
      <c r="FG12" s="283">
        <f t="shared" si="84"/>
        <v>7</v>
      </c>
      <c r="FH12" s="406"/>
      <c r="FI12" s="407" t="s">
        <v>222</v>
      </c>
      <c r="FJ12" s="17">
        <v>148012.14499999996</v>
      </c>
      <c r="FK12" s="17">
        <v>277116.79999999999</v>
      </c>
      <c r="FL12" s="17">
        <v>328144.58999999997</v>
      </c>
      <c r="FM12" s="290">
        <f t="shared" si="28"/>
        <v>753273.53499999992</v>
      </c>
      <c r="FN12" s="17">
        <v>150334.44712121214</v>
      </c>
      <c r="FO12" s="17">
        <v>277176</v>
      </c>
      <c r="FP12" s="17">
        <v>328144.58999999997</v>
      </c>
      <c r="FQ12" s="17">
        <v>755655.03712121211</v>
      </c>
      <c r="FR12" s="17">
        <v>755655.03712121211</v>
      </c>
      <c r="FS12" s="103"/>
      <c r="FT12" s="408"/>
      <c r="FV12" s="283">
        <v>7</v>
      </c>
      <c r="FW12" s="286" t="s">
        <v>223</v>
      </c>
      <c r="FX12" s="17">
        <v>0</v>
      </c>
      <c r="FY12" s="17">
        <v>0</v>
      </c>
      <c r="FZ12" s="17">
        <v>0</v>
      </c>
      <c r="GA12" s="290">
        <v>0</v>
      </c>
      <c r="GB12" s="17">
        <v>0</v>
      </c>
      <c r="GC12" s="17">
        <v>0</v>
      </c>
      <c r="GD12" s="17">
        <v>0</v>
      </c>
      <c r="GE12" s="290">
        <f t="shared" si="87"/>
        <v>0</v>
      </c>
      <c r="GF12" s="103"/>
      <c r="GG12" s="301"/>
      <c r="GI12" s="467">
        <v>7</v>
      </c>
      <c r="GJ12" s="471" t="s">
        <v>89</v>
      </c>
      <c r="GK12" s="469">
        <f t="shared" ref="GK12:GR12" si="91">SUM(GK6:GK11)</f>
        <v>0</v>
      </c>
      <c r="GL12" s="469">
        <f t="shared" si="91"/>
        <v>0</v>
      </c>
      <c r="GM12" s="469">
        <f t="shared" si="91"/>
        <v>0</v>
      </c>
      <c r="GN12" s="470">
        <f t="shared" si="91"/>
        <v>0</v>
      </c>
      <c r="GO12" s="469">
        <f t="shared" si="91"/>
        <v>0</v>
      </c>
      <c r="GP12" s="469">
        <f t="shared" si="91"/>
        <v>0</v>
      </c>
      <c r="GQ12" s="469">
        <f t="shared" si="91"/>
        <v>0</v>
      </c>
      <c r="GR12" s="470">
        <f t="shared" si="91"/>
        <v>0</v>
      </c>
      <c r="GS12" s="103"/>
      <c r="GT12" s="301"/>
      <c r="GV12" s="283">
        <v>7</v>
      </c>
      <c r="GW12" s="286" t="s">
        <v>224</v>
      </c>
      <c r="GX12" s="17">
        <f>FX14</f>
        <v>246822.49</v>
      </c>
      <c r="GY12" s="17">
        <f t="shared" ref="GY12:GZ12" si="92">FY14</f>
        <v>506083.3639</v>
      </c>
      <c r="GZ12" s="17">
        <f t="shared" si="92"/>
        <v>1023549.4600000001</v>
      </c>
      <c r="HA12" s="290">
        <f t="shared" ref="HA12:HA13" si="93">SUM(GX12:GZ12)</f>
        <v>1776455.3139</v>
      </c>
      <c r="HB12" s="17">
        <f>GB14</f>
        <v>0</v>
      </c>
      <c r="HC12" s="17">
        <f t="shared" ref="HC12:HD12" si="94">GC14</f>
        <v>0</v>
      </c>
      <c r="HD12" s="17">
        <f t="shared" si="94"/>
        <v>0</v>
      </c>
      <c r="HE12" s="17">
        <f t="shared" ref="HE12" si="95">SUM(HB12:HD12)</f>
        <v>0</v>
      </c>
      <c r="HF12" s="103"/>
      <c r="HG12" s="301"/>
      <c r="HW12" s="283">
        <v>7</v>
      </c>
      <c r="HX12" s="306">
        <v>7</v>
      </c>
      <c r="HY12" s="306">
        <v>10</v>
      </c>
      <c r="HZ12" s="306">
        <v>12</v>
      </c>
      <c r="IA12" s="307">
        <v>35567652</v>
      </c>
      <c r="IB12" s="307">
        <v>43926482</v>
      </c>
      <c r="IC12" s="309">
        <f t="shared" si="5"/>
        <v>1.2</v>
      </c>
      <c r="ID12" s="309">
        <f t="shared" si="6"/>
        <v>1.2350121396824283</v>
      </c>
      <c r="IE12" s="310">
        <v>1</v>
      </c>
      <c r="IF12" s="310">
        <v>0</v>
      </c>
      <c r="IG12" s="310">
        <v>0</v>
      </c>
      <c r="IK12" s="410">
        <v>7</v>
      </c>
      <c r="IL12" s="317">
        <v>7</v>
      </c>
      <c r="IM12" s="313">
        <f t="shared" si="7"/>
        <v>1.2350121396824283</v>
      </c>
      <c r="IN12" s="17">
        <v>0</v>
      </c>
      <c r="IO12" s="290">
        <f t="shared" si="29"/>
        <v>0</v>
      </c>
      <c r="IP12" s="17">
        <v>3906290</v>
      </c>
      <c r="IQ12" s="290">
        <v>4775399</v>
      </c>
      <c r="IR12" s="17">
        <v>1655811.4653</v>
      </c>
      <c r="IS12" s="290">
        <v>2007169</v>
      </c>
      <c r="IT12" s="17">
        <v>225000</v>
      </c>
      <c r="IU12" s="17">
        <v>270000</v>
      </c>
      <c r="IV12" s="17">
        <f t="shared" si="30"/>
        <v>1880811.4653</v>
      </c>
      <c r="IW12" s="17">
        <f t="shared" si="30"/>
        <v>2277169</v>
      </c>
      <c r="IX12" s="314"/>
      <c r="IY12" s="315"/>
      <c r="IZ12" s="314"/>
      <c r="JA12" s="316">
        <v>7</v>
      </c>
      <c r="JB12" s="317">
        <v>7</v>
      </c>
      <c r="JC12" s="318">
        <f t="shared" si="8"/>
        <v>1.2</v>
      </c>
      <c r="JD12" s="319">
        <f t="shared" si="8"/>
        <v>1.2350121396824283</v>
      </c>
      <c r="JE12" s="17">
        <v>534015.33116052148</v>
      </c>
      <c r="JF12" s="290">
        <f t="shared" si="70"/>
        <v>659515.41675977618</v>
      </c>
      <c r="JG12" s="17">
        <v>140368.72915</v>
      </c>
      <c r="JH12" s="290">
        <f t="shared" si="31"/>
        <v>173357.08453204474</v>
      </c>
      <c r="JI12" s="17">
        <v>308346.51058947854</v>
      </c>
      <c r="JJ12" s="290">
        <f t="shared" si="32"/>
        <v>370015.81270737422</v>
      </c>
      <c r="JK12" s="17">
        <v>430609.7511015131</v>
      </c>
      <c r="JL12" s="290">
        <v>523413.17756288225</v>
      </c>
      <c r="JM12" s="17">
        <v>119760.47224999996</v>
      </c>
      <c r="JN12" s="290">
        <f t="shared" si="33"/>
        <v>147905.63708285053</v>
      </c>
      <c r="JO12" s="17">
        <v>53415.915999999997</v>
      </c>
      <c r="JP12" s="290">
        <f t="shared" si="34"/>
        <v>65969.304712256853</v>
      </c>
      <c r="JQ12" s="17">
        <v>62226.089999999989</v>
      </c>
      <c r="JR12" s="290">
        <f t="shared" si="35"/>
        <v>76849.976554971334</v>
      </c>
      <c r="JS12" s="17">
        <v>200200.63380000001</v>
      </c>
      <c r="JT12" s="290">
        <f t="shared" si="36"/>
        <v>247250.21311511629</v>
      </c>
      <c r="JU12" s="17">
        <f t="shared" si="37"/>
        <v>1848943.434051513</v>
      </c>
      <c r="JV12" s="17">
        <f t="shared" si="37"/>
        <v>2264276.6230272725</v>
      </c>
      <c r="JW12" s="320">
        <f t="shared" si="9"/>
        <v>5.1546960283030918</v>
      </c>
      <c r="KA12" s="283">
        <v>7</v>
      </c>
      <c r="KB12" s="306">
        <v>7</v>
      </c>
      <c r="KC12" s="97">
        <f t="shared" si="10"/>
        <v>12</v>
      </c>
      <c r="KD12" s="97">
        <f t="shared" si="11"/>
        <v>12</v>
      </c>
      <c r="KE12" s="289">
        <f t="shared" si="12"/>
        <v>43926482</v>
      </c>
      <c r="KF12" s="289">
        <f t="shared" si="13"/>
        <v>45544271.293069072</v>
      </c>
      <c r="KG12" s="321">
        <f t="shared" si="38"/>
        <v>1</v>
      </c>
      <c r="KH12" s="321">
        <f t="shared" si="39"/>
        <v>1.036829475510219</v>
      </c>
      <c r="KI12" s="321">
        <f t="shared" si="40"/>
        <v>0.97568835000441778</v>
      </c>
      <c r="KJ12" s="306" t="s">
        <v>256</v>
      </c>
      <c r="KK12" s="322"/>
      <c r="KL12" s="323"/>
      <c r="KM12" s="322"/>
      <c r="KN12" s="283">
        <v>7</v>
      </c>
      <c r="KO12" s="306">
        <v>7</v>
      </c>
      <c r="KP12" s="324" t="str">
        <f t="shared" si="14"/>
        <v>Q3</v>
      </c>
      <c r="KQ12" s="325">
        <f t="shared" si="15"/>
        <v>0.97568835000441778</v>
      </c>
      <c r="KR12" s="17">
        <f t="shared" si="41"/>
        <v>0</v>
      </c>
      <c r="KS12" s="17">
        <f t="shared" si="42"/>
        <v>0</v>
      </c>
      <c r="KT12" s="17">
        <f t="shared" si="16"/>
        <v>4775399</v>
      </c>
      <c r="KU12" s="17">
        <f t="shared" si="43"/>
        <v>4987695.4248454841</v>
      </c>
      <c r="KV12" s="17">
        <f t="shared" si="17"/>
        <v>2007169</v>
      </c>
      <c r="KW12" s="17">
        <f t="shared" si="18"/>
        <v>2737984.0955878077</v>
      </c>
      <c r="KX12" s="17">
        <f t="shared" si="44"/>
        <v>270000</v>
      </c>
      <c r="KY12" s="17">
        <f t="shared" si="45"/>
        <v>98955.471154630228</v>
      </c>
      <c r="KZ12" s="17">
        <f t="shared" si="46"/>
        <v>2277169</v>
      </c>
      <c r="LA12" s="17">
        <f t="shared" si="46"/>
        <v>2836939.5667424379</v>
      </c>
      <c r="LB12" s="326"/>
      <c r="LC12" s="323"/>
      <c r="LD12" s="322"/>
      <c r="LE12" s="364">
        <f t="shared" si="71"/>
        <v>7</v>
      </c>
      <c r="LF12" s="365">
        <v>6</v>
      </c>
      <c r="LG12" s="411">
        <f t="shared" si="72"/>
        <v>1</v>
      </c>
      <c r="LH12" s="411">
        <f t="shared" si="72"/>
        <v>1.036829475510219</v>
      </c>
      <c r="LI12" s="412">
        <v>113.92083696213525</v>
      </c>
      <c r="LJ12" s="343">
        <f t="shared" si="73"/>
        <v>571596.559776371</v>
      </c>
      <c r="LK12" s="412">
        <v>113.92083696213525</v>
      </c>
      <c r="LL12" s="343">
        <f t="shared" si="47"/>
        <v>28146.126445986389</v>
      </c>
      <c r="LM12" s="412">
        <v>113.92083696213525</v>
      </c>
      <c r="LN12" s="343">
        <f t="shared" si="48"/>
        <v>311877.00254402391</v>
      </c>
      <c r="LO12" s="412">
        <v>118.41952153062</v>
      </c>
      <c r="LP12" s="343">
        <f t="shared" si="74"/>
        <v>489282.12489814521</v>
      </c>
      <c r="LQ12" s="412">
        <v>118.887537452888</v>
      </c>
      <c r="LR12" s="343">
        <f t="shared" si="49"/>
        <v>93240.651367566883</v>
      </c>
      <c r="LS12" s="412">
        <v>168.49721907230401</v>
      </c>
      <c r="LT12" s="343">
        <f t="shared" si="50"/>
        <v>55388.894538569468</v>
      </c>
      <c r="LU12" s="412">
        <v>107.679074448752</v>
      </c>
      <c r="LV12" s="343">
        <f t="shared" si="51"/>
        <v>28171.256631403037</v>
      </c>
      <c r="LW12" s="412">
        <v>115.99271402550001</v>
      </c>
      <c r="LX12" s="343">
        <f t="shared" si="52"/>
        <v>225881.71886422986</v>
      </c>
      <c r="LY12" s="20">
        <f t="shared" si="53"/>
        <v>1927746.3927005585</v>
      </c>
      <c r="LZ12" s="20">
        <f t="shared" si="75"/>
        <v>1803584.3350662959</v>
      </c>
      <c r="MA12" s="103"/>
      <c r="MB12" s="335"/>
      <c r="MD12" s="283">
        <v>7</v>
      </c>
      <c r="ME12" s="336">
        <v>7</v>
      </c>
      <c r="MF12" s="17">
        <f t="shared" si="19"/>
        <v>1880811.4653</v>
      </c>
      <c r="MG12" s="17">
        <f t="shared" si="19"/>
        <v>2277169</v>
      </c>
      <c r="MH12" s="290">
        <f t="shared" si="20"/>
        <v>2836939.5667424379</v>
      </c>
      <c r="MI12" s="17">
        <f t="shared" si="21"/>
        <v>1848943.434051513</v>
      </c>
      <c r="MJ12" s="17">
        <f t="shared" si="21"/>
        <v>2264276.6230272725</v>
      </c>
      <c r="MK12" s="290">
        <f t="shared" si="54"/>
        <v>2209228.3222750546</v>
      </c>
      <c r="ML12" s="17">
        <f t="shared" si="55"/>
        <v>31868.031248487066</v>
      </c>
      <c r="MM12" s="17">
        <f>MG12-MJ12</f>
        <v>12892.376972727478</v>
      </c>
      <c r="MN12" s="17">
        <f t="shared" si="55"/>
        <v>627711.24446738325</v>
      </c>
      <c r="MR12" s="283">
        <f t="shared" si="76"/>
        <v>7</v>
      </c>
      <c r="MS12" s="413" t="s">
        <v>225</v>
      </c>
      <c r="MT12" s="32">
        <f>MT9/(1-MT11)</f>
        <v>352473509.16339827</v>
      </c>
      <c r="MX12" s="338">
        <f>MX11+1</f>
        <v>6</v>
      </c>
      <c r="MY12" s="447" t="s">
        <v>220</v>
      </c>
      <c r="MZ12" s="24">
        <f>N12</f>
        <v>136638691.09308848</v>
      </c>
      <c r="NA12" s="472">
        <f t="shared" si="56"/>
        <v>6.2383625041651918</v>
      </c>
      <c r="NB12" s="453"/>
      <c r="NC12" s="22">
        <f>NC9+NC10+NC11</f>
        <v>113050836.65320997</v>
      </c>
      <c r="ND12" s="472">
        <f t="shared" si="57"/>
        <v>5.1614377655404979</v>
      </c>
      <c r="NH12" s="338">
        <f t="shared" si="86"/>
        <v>6</v>
      </c>
      <c r="NI12" s="447" t="str">
        <f t="shared" si="58"/>
        <v>Net Revenue</v>
      </c>
      <c r="NJ12" s="24">
        <v>106708111.01526074</v>
      </c>
      <c r="NK12" s="24">
        <f>MZ12</f>
        <v>136638691.09308848</v>
      </c>
      <c r="NL12" s="24">
        <f t="shared" si="77"/>
        <v>29930580.077827737</v>
      </c>
      <c r="NM12" s="473">
        <f t="shared" si="78"/>
        <v>0.28049020634942406</v>
      </c>
    </row>
    <row r="13" spans="2:387" x14ac:dyDescent="0.3">
      <c r="B13" s="226">
        <f t="shared" si="79"/>
        <v>8</v>
      </c>
      <c r="C13" s="474" t="s">
        <v>221</v>
      </c>
      <c r="D13" s="475"/>
      <c r="E13" s="476"/>
      <c r="F13" s="15"/>
      <c r="G13" s="341"/>
      <c r="H13" s="15"/>
      <c r="I13" s="342"/>
      <c r="J13" s="343"/>
      <c r="K13" s="15"/>
      <c r="L13" s="342"/>
      <c r="M13" s="343"/>
      <c r="N13" s="15"/>
      <c r="O13" s="342"/>
      <c r="P13" s="343"/>
      <c r="Q13" s="15"/>
      <c r="R13" s="344"/>
      <c r="V13" s="275"/>
      <c r="W13" s="276" t="s">
        <v>27</v>
      </c>
      <c r="X13" s="415"/>
      <c r="Y13" s="416"/>
      <c r="Z13" s="416"/>
      <c r="AA13" s="416"/>
      <c r="AB13" s="279"/>
      <c r="AC13" s="351"/>
      <c r="AF13" s="417">
        <f t="shared" si="80"/>
        <v>7</v>
      </c>
      <c r="AG13" s="418" t="s">
        <v>195</v>
      </c>
      <c r="AH13" s="477">
        <f>JE26/AH11</f>
        <v>20.537971247053672</v>
      </c>
      <c r="AI13" s="477">
        <f>JG26/AI11</f>
        <v>19.390724851022238</v>
      </c>
      <c r="AJ13" s="477">
        <f>JI26/AJ11</f>
        <v>32.342338831236454</v>
      </c>
      <c r="AL13" s="464"/>
      <c r="AN13" s="338">
        <v>8</v>
      </c>
      <c r="AO13" s="96"/>
      <c r="AQ13" s="518" t="s">
        <v>47</v>
      </c>
      <c r="AR13" s="340"/>
      <c r="AS13" s="348">
        <v>12784699.6164</v>
      </c>
      <c r="AT13" s="349">
        <v>1.2467034624748656</v>
      </c>
      <c r="AU13" s="350"/>
      <c r="AV13" s="348">
        <v>13940512.122199997</v>
      </c>
      <c r="AW13" s="349">
        <v>1.2917708159017343</v>
      </c>
      <c r="AX13" s="351">
        <f t="shared" ref="AX13:AX20" si="96">AW13/AT13-1</f>
        <v>3.6149216540559026E-2</v>
      </c>
      <c r="AY13" s="350"/>
      <c r="AZ13" s="348">
        <v>16686157.735618668</v>
      </c>
      <c r="BA13" s="349">
        <v>1.2933634349589591</v>
      </c>
      <c r="BB13" s="351">
        <f t="shared" ref="BB13:BB20" si="97">BA13/AW13-1</f>
        <v>1.2328959886844792E-3</v>
      </c>
      <c r="BC13" s="350"/>
      <c r="BD13" s="348">
        <v>19121063.134010617</v>
      </c>
      <c r="BE13" s="349">
        <v>1.3002123037527811</v>
      </c>
      <c r="BF13" s="351">
        <f t="shared" ref="BF13:BF20" si="98">BE13/BA13-1</f>
        <v>5.2953938612307905E-3</v>
      </c>
      <c r="BG13" s="350"/>
      <c r="BH13" s="348">
        <v>21345531.913160004</v>
      </c>
      <c r="BI13" s="349">
        <v>1.4046426840756656</v>
      </c>
      <c r="BJ13" s="351">
        <f t="shared" ref="BJ13:BJ20" si="99">BI13/BE13-1</f>
        <v>8.0317945016724401E-2</v>
      </c>
      <c r="BK13" s="350"/>
      <c r="BL13" s="348">
        <v>23918047.727200001</v>
      </c>
      <c r="BM13" s="349">
        <v>1.4218898216681388</v>
      </c>
      <c r="BN13" s="351">
        <f t="shared" ref="BN13:BN20" si="100">BM13/BI13-1</f>
        <v>1.2278665448517856E-2</v>
      </c>
      <c r="BO13" s="350"/>
      <c r="BP13" s="348">
        <v>28535397.766300008</v>
      </c>
      <c r="BQ13" s="349">
        <v>1.5384698585450844</v>
      </c>
      <c r="BR13" s="351">
        <f t="shared" ref="BR13:BR20" si="101">BQ13/BM13-1</f>
        <v>8.1989500944718685E-2</v>
      </c>
      <c r="BS13" s="350"/>
      <c r="BT13" s="518">
        <v>32304174</v>
      </c>
      <c r="BU13" s="518">
        <v>1.65</v>
      </c>
      <c r="BV13" s="518">
        <f t="shared" ref="BV13:BV20" si="102">BU13/BQ13-1</f>
        <v>7.2494199893125222E-2</v>
      </c>
      <c r="BW13" s="15">
        <v>36103152.515199989</v>
      </c>
      <c r="BX13" s="16">
        <v>1.8651083200592218</v>
      </c>
      <c r="BY13" s="16">
        <f t="shared" si="65"/>
        <v>0.13036867882377079</v>
      </c>
      <c r="BZ13" s="16">
        <v>36687111.743471108</v>
      </c>
      <c r="CA13" s="16">
        <v>1.7984785294214409</v>
      </c>
      <c r="CB13" s="16">
        <f t="shared" si="66"/>
        <v>-3.5724354409434667E-2</v>
      </c>
      <c r="CC13" s="15">
        <f t="shared" ref="CC13:CD16" si="103">F14</f>
        <v>37593268.407299995</v>
      </c>
      <c r="CD13" s="16">
        <f t="shared" si="103"/>
        <v>1.8087697778034015</v>
      </c>
      <c r="CE13" s="352">
        <f t="shared" ref="CE13:CE20" si="104">CD13/CA13-1</f>
        <v>5.722196964603965E-3</v>
      </c>
      <c r="CF13" s="353">
        <f t="shared" si="68"/>
        <v>1.9404889856837917</v>
      </c>
      <c r="CG13" s="352">
        <f t="shared" ref="CG13:CG23" si="105">(CF13+1)^(1/(2022-2004))-1</f>
        <v>6.1752540262295819E-2</v>
      </c>
      <c r="DA13" s="518"/>
      <c r="DH13" s="976"/>
      <c r="DI13" s="976"/>
      <c r="DJ13" s="355"/>
      <c r="DK13" s="355"/>
      <c r="DL13" s="355"/>
      <c r="DM13" s="344"/>
      <c r="DW13" s="96"/>
      <c r="DX13" s="96"/>
      <c r="DY13" s="96"/>
      <c r="DZ13" s="96"/>
      <c r="EB13" s="94"/>
      <c r="EN13" s="103"/>
      <c r="EO13" s="408"/>
      <c r="FD13" s="103"/>
      <c r="FE13" s="408"/>
      <c r="FG13" s="338">
        <f t="shared" si="84"/>
        <v>8</v>
      </c>
      <c r="FH13" s="360"/>
      <c r="FI13" s="361" t="s">
        <v>226</v>
      </c>
      <c r="FJ13" s="20">
        <v>372570.14490000001</v>
      </c>
      <c r="FK13" s="20">
        <v>432666.99</v>
      </c>
      <c r="FL13" s="20">
        <v>764335.16999999993</v>
      </c>
      <c r="FM13" s="343">
        <f t="shared" si="28"/>
        <v>1569572.3048999999</v>
      </c>
      <c r="FN13" s="20">
        <v>383216.99338484858</v>
      </c>
      <c r="FO13" s="20">
        <v>433325.38999999996</v>
      </c>
      <c r="FP13" s="20">
        <v>764335.17</v>
      </c>
      <c r="FQ13" s="20">
        <v>1580877.5533848486</v>
      </c>
      <c r="FR13" s="20">
        <v>1580877.5533848486</v>
      </c>
      <c r="FS13" s="103"/>
      <c r="FT13" s="408"/>
      <c r="FV13" s="456">
        <v>8</v>
      </c>
      <c r="FW13" s="478" t="s">
        <v>227</v>
      </c>
      <c r="FX13" s="20">
        <v>118240.69</v>
      </c>
      <c r="FY13" s="20">
        <v>400895.28</v>
      </c>
      <c r="FZ13" s="20">
        <v>671940.67</v>
      </c>
      <c r="GA13" s="343">
        <v>1191076.6400000001</v>
      </c>
      <c r="GB13" s="20">
        <v>0</v>
      </c>
      <c r="GC13" s="20">
        <v>0</v>
      </c>
      <c r="GD13" s="20">
        <v>0</v>
      </c>
      <c r="GE13" s="343">
        <f t="shared" si="1"/>
        <v>0</v>
      </c>
      <c r="GG13" s="301"/>
      <c r="GT13" s="301"/>
      <c r="GV13" s="456">
        <v>8</v>
      </c>
      <c r="GW13" s="478" t="s">
        <v>228</v>
      </c>
      <c r="GX13" s="20">
        <f>GK12</f>
        <v>0</v>
      </c>
      <c r="GY13" s="20">
        <f t="shared" ref="GY13:GZ13" si="106">GL12</f>
        <v>0</v>
      </c>
      <c r="GZ13" s="20">
        <f t="shared" si="106"/>
        <v>0</v>
      </c>
      <c r="HA13" s="343">
        <f t="shared" si="93"/>
        <v>0</v>
      </c>
      <c r="HB13" s="20">
        <f>GO12</f>
        <v>0</v>
      </c>
      <c r="HC13" s="20">
        <f t="shared" ref="HC13:HE13" si="107">GP12</f>
        <v>0</v>
      </c>
      <c r="HD13" s="20">
        <f t="shared" si="107"/>
        <v>0</v>
      </c>
      <c r="HE13" s="20">
        <f t="shared" si="107"/>
        <v>0</v>
      </c>
      <c r="HG13" s="301"/>
      <c r="HW13" s="338">
        <v>8</v>
      </c>
      <c r="HX13" s="322">
        <v>8</v>
      </c>
      <c r="HY13" s="322">
        <v>11</v>
      </c>
      <c r="HZ13" s="322">
        <v>10</v>
      </c>
      <c r="IA13" s="347">
        <v>46754320</v>
      </c>
      <c r="IB13" s="347">
        <v>42400765</v>
      </c>
      <c r="IC13" s="342">
        <f t="shared" si="5"/>
        <v>0.90909090909090906</v>
      </c>
      <c r="ID13" s="342">
        <f t="shared" si="6"/>
        <v>0.90688443335289659</v>
      </c>
      <c r="IE13" s="344">
        <v>1</v>
      </c>
      <c r="IF13" s="344">
        <v>0</v>
      </c>
      <c r="IG13" s="344">
        <v>0</v>
      </c>
      <c r="IK13" s="364">
        <v>8</v>
      </c>
      <c r="IL13" s="365">
        <v>8</v>
      </c>
      <c r="IM13" s="341">
        <f t="shared" si="7"/>
        <v>0.90688443335289659</v>
      </c>
      <c r="IN13" s="20">
        <v>1215</v>
      </c>
      <c r="IO13" s="343">
        <f t="shared" si="29"/>
        <v>1101.8645865237693</v>
      </c>
      <c r="IP13" s="20">
        <v>5068135</v>
      </c>
      <c r="IQ13" s="343">
        <v>4100517</v>
      </c>
      <c r="IR13" s="20">
        <v>2068139.1013000002</v>
      </c>
      <c r="IS13" s="343">
        <v>1665222</v>
      </c>
      <c r="IT13" s="20">
        <v>247500</v>
      </c>
      <c r="IU13" s="20">
        <v>225000</v>
      </c>
      <c r="IV13" s="20">
        <f t="shared" si="30"/>
        <v>2316854.1013000002</v>
      </c>
      <c r="IW13" s="20">
        <f t="shared" si="30"/>
        <v>1891323.8645865237</v>
      </c>
      <c r="IX13" s="314"/>
      <c r="IY13" s="315"/>
      <c r="IZ13" s="314"/>
      <c r="JA13" s="366">
        <v>8</v>
      </c>
      <c r="JB13" s="365">
        <v>8</v>
      </c>
      <c r="JC13" s="367">
        <f t="shared" si="8"/>
        <v>0.90909090909090906</v>
      </c>
      <c r="JD13" s="368">
        <f t="shared" si="8"/>
        <v>0.90688443335289659</v>
      </c>
      <c r="JE13" s="20">
        <v>765725.39359878015</v>
      </c>
      <c r="JF13" s="343">
        <f t="shared" si="70"/>
        <v>694424.43967775349</v>
      </c>
      <c r="JG13" s="20">
        <v>88308.025000000009</v>
      </c>
      <c r="JH13" s="343">
        <f t="shared" si="31"/>
        <v>80085.17321263843</v>
      </c>
      <c r="JI13" s="20">
        <v>479200.50340121984</v>
      </c>
      <c r="JJ13" s="343">
        <f t="shared" si="32"/>
        <v>435636.82127383619</v>
      </c>
      <c r="JK13" s="20">
        <v>627154.02980366477</v>
      </c>
      <c r="JL13" s="343">
        <v>592911.97216258664</v>
      </c>
      <c r="JM13" s="20">
        <v>44114.474999999991</v>
      </c>
      <c r="JN13" s="343">
        <f t="shared" si="33"/>
        <v>40006.730663035516</v>
      </c>
      <c r="JO13" s="20">
        <v>66525.029500000019</v>
      </c>
      <c r="JP13" s="343">
        <f t="shared" si="34"/>
        <v>60330.513681892247</v>
      </c>
      <c r="JQ13" s="20">
        <v>54149.519</v>
      </c>
      <c r="JR13" s="343">
        <f t="shared" si="35"/>
        <v>49107.355854646907</v>
      </c>
      <c r="JS13" s="20">
        <v>291219.13010000007</v>
      </c>
      <c r="JT13" s="343">
        <f t="shared" si="36"/>
        <v>264102.09578226204</v>
      </c>
      <c r="JU13" s="20">
        <f t="shared" si="37"/>
        <v>2416396.105403665</v>
      </c>
      <c r="JV13" s="20">
        <f t="shared" si="37"/>
        <v>2216605.1023086514</v>
      </c>
      <c r="JW13" s="369">
        <f t="shared" si="9"/>
        <v>5.2277479010311527</v>
      </c>
      <c r="KA13" s="338">
        <v>8</v>
      </c>
      <c r="KB13" s="322">
        <v>8</v>
      </c>
      <c r="KC13" s="518">
        <f t="shared" si="10"/>
        <v>10</v>
      </c>
      <c r="KD13" s="518">
        <f t="shared" si="11"/>
        <v>10</v>
      </c>
      <c r="KE13" s="370">
        <f t="shared" si="12"/>
        <v>42400765</v>
      </c>
      <c r="KF13" s="370">
        <f t="shared" si="13"/>
        <v>43962362.936182052</v>
      </c>
      <c r="KG13" s="371">
        <f t="shared" si="38"/>
        <v>1</v>
      </c>
      <c r="KH13" s="371">
        <f t="shared" si="39"/>
        <v>1.036829475510219</v>
      </c>
      <c r="KI13" s="371">
        <f t="shared" si="40"/>
        <v>1.0459120072827468</v>
      </c>
      <c r="KJ13" s="322" t="s">
        <v>440</v>
      </c>
      <c r="KK13" s="322"/>
      <c r="KL13" s="323"/>
      <c r="KM13" s="322"/>
      <c r="KN13" s="338">
        <v>8</v>
      </c>
      <c r="KO13" s="322">
        <v>8</v>
      </c>
      <c r="KP13" s="437" t="str">
        <f t="shared" si="14"/>
        <v>Q4</v>
      </c>
      <c r="KQ13" s="373">
        <f t="shared" si="15"/>
        <v>1.0459120072827468</v>
      </c>
      <c r="KR13" s="358">
        <f t="shared" si="41"/>
        <v>1101.8645865237693</v>
      </c>
      <c r="KS13" s="358">
        <f t="shared" si="42"/>
        <v>1152.4534014448493</v>
      </c>
      <c r="KT13" s="358">
        <f t="shared" si="16"/>
        <v>4100517</v>
      </c>
      <c r="KU13" s="358">
        <f t="shared" si="43"/>
        <v>4814455.6989664808</v>
      </c>
      <c r="KV13" s="358">
        <f t="shared" si="17"/>
        <v>1665222</v>
      </c>
      <c r="KW13" s="358">
        <f t="shared" si="18"/>
        <v>2642884.5408279262</v>
      </c>
      <c r="KX13" s="358">
        <f t="shared" si="44"/>
        <v>225000</v>
      </c>
      <c r="KY13" s="358">
        <f t="shared" si="45"/>
        <v>95518.409097540629</v>
      </c>
      <c r="KZ13" s="358">
        <f t="shared" si="46"/>
        <v>1891323.8645865237</v>
      </c>
      <c r="LA13" s="358">
        <f t="shared" si="46"/>
        <v>2739555.4033269119</v>
      </c>
      <c r="LB13" s="326"/>
      <c r="LC13" s="323"/>
      <c r="LD13" s="322"/>
      <c r="LE13" s="374">
        <f t="shared" si="71"/>
        <v>8</v>
      </c>
      <c r="LF13" s="375">
        <v>7</v>
      </c>
      <c r="LG13" s="376">
        <f t="shared" si="72"/>
        <v>1</v>
      </c>
      <c r="LH13" s="376">
        <f t="shared" si="72"/>
        <v>1.036829475510219</v>
      </c>
      <c r="LI13" s="377">
        <v>106.45762205358784</v>
      </c>
      <c r="LJ13" s="290">
        <f t="shared" si="73"/>
        <v>603124.17323221825</v>
      </c>
      <c r="LK13" s="377">
        <v>106.45762205358784</v>
      </c>
      <c r="LL13" s="290">
        <f t="shared" si="47"/>
        <v>158534.35056306043</v>
      </c>
      <c r="LM13" s="377">
        <v>106.45762205358784</v>
      </c>
      <c r="LN13" s="290">
        <f t="shared" si="48"/>
        <v>326358.35275206564</v>
      </c>
      <c r="LO13" s="377">
        <v>118.614283549666</v>
      </c>
      <c r="LP13" s="290">
        <f t="shared" si="74"/>
        <v>547502.34391122684</v>
      </c>
      <c r="LQ13" s="377">
        <v>119.48337591187899</v>
      </c>
      <c r="LR13" s="290">
        <f t="shared" si="49"/>
        <v>160328.74810019947</v>
      </c>
      <c r="LS13" s="377">
        <v>157.07111615098</v>
      </c>
      <c r="LT13" s="290">
        <f t="shared" si="50"/>
        <v>62190.645784074026</v>
      </c>
      <c r="LU13" s="377">
        <v>112.15574935818501</v>
      </c>
      <c r="LV13" s="290">
        <f t="shared" si="51"/>
        <v>83766.668632537112</v>
      </c>
      <c r="LW13" s="377">
        <v>116.939890710382</v>
      </c>
      <c r="LX13" s="378">
        <f t="shared" si="52"/>
        <v>267423.03929967259</v>
      </c>
      <c r="LY13" s="379">
        <f t="shared" si="53"/>
        <v>2264276.6230272725</v>
      </c>
      <c r="LZ13" s="379">
        <f t="shared" si="75"/>
        <v>2209228.3222750546</v>
      </c>
      <c r="MA13" s="103"/>
      <c r="MB13" s="335"/>
      <c r="MD13" s="338">
        <v>8</v>
      </c>
      <c r="ME13" s="380">
        <v>8</v>
      </c>
      <c r="MF13" s="20">
        <f t="shared" si="19"/>
        <v>2316854.1013000002</v>
      </c>
      <c r="MG13" s="20">
        <f t="shared" si="19"/>
        <v>1891323.8645865237</v>
      </c>
      <c r="MH13" s="343">
        <f t="shared" si="20"/>
        <v>2739555.4033269119</v>
      </c>
      <c r="MI13" s="20">
        <f t="shared" si="21"/>
        <v>2416396.105403665</v>
      </c>
      <c r="MJ13" s="20">
        <f t="shared" si="21"/>
        <v>2216605.1023086514</v>
      </c>
      <c r="MK13" s="343">
        <f t="shared" si="54"/>
        <v>2318373.8919088198</v>
      </c>
      <c r="ML13" s="20">
        <f t="shared" si="55"/>
        <v>-99542.004103664774</v>
      </c>
      <c r="MM13" s="20">
        <f t="shared" si="55"/>
        <v>-325281.2377221277</v>
      </c>
      <c r="MN13" s="20">
        <f t="shared" si="55"/>
        <v>421181.51141809206</v>
      </c>
      <c r="MR13" s="338">
        <f t="shared" si="76"/>
        <v>8</v>
      </c>
      <c r="MS13" s="346" t="s">
        <v>229</v>
      </c>
      <c r="MT13" s="479">
        <f>MT12-MT9</f>
        <v>18998322.143907189</v>
      </c>
      <c r="MX13" s="283">
        <f t="shared" si="85"/>
        <v>7</v>
      </c>
      <c r="MY13" s="285" t="s">
        <v>221</v>
      </c>
      <c r="MZ13" s="17"/>
      <c r="NA13" s="381"/>
      <c r="NB13" s="97"/>
      <c r="NC13" s="18"/>
      <c r="ND13" s="381"/>
      <c r="NH13" s="283">
        <f t="shared" si="86"/>
        <v>7</v>
      </c>
      <c r="NI13" s="285" t="str">
        <f t="shared" si="58"/>
        <v>Expenses</v>
      </c>
      <c r="NJ13" s="17"/>
      <c r="NK13" s="17"/>
      <c r="NL13" s="17"/>
      <c r="NM13" s="395"/>
      <c r="NQ13" s="480"/>
      <c r="NR13" s="480"/>
      <c r="NS13" s="17"/>
      <c r="NT13" s="383"/>
    </row>
    <row r="14" spans="2:387" ht="17.25" thickBot="1" x14ac:dyDescent="0.35">
      <c r="B14" s="265">
        <f t="shared" si="79"/>
        <v>9</v>
      </c>
      <c r="C14" s="384"/>
      <c r="D14" s="97" t="s">
        <v>47</v>
      </c>
      <c r="E14" s="286"/>
      <c r="F14" s="18">
        <f>CP9</f>
        <v>37593268.407299995</v>
      </c>
      <c r="G14" s="313">
        <f t="shared" ref="G14:G22" si="108">F14/F$24*100</f>
        <v>1.8087697778034015</v>
      </c>
      <c r="H14" s="18">
        <f>CT9</f>
        <v>36384668.568564288</v>
      </c>
      <c r="I14" s="309">
        <f t="shared" ref="I14:I22" si="109">H14/H$24*100</f>
        <v>1.7464127227111574</v>
      </c>
      <c r="J14" s="290">
        <f t="shared" si="59"/>
        <v>-1208599.8387357071</v>
      </c>
      <c r="K14" s="18">
        <f>JF26</f>
        <v>36992330.313946411</v>
      </c>
      <c r="L14" s="309">
        <f t="shared" ref="L14:L22" si="110">K14/K$24*100</f>
        <v>1.7511201271780921</v>
      </c>
      <c r="M14" s="290">
        <f t="shared" si="60"/>
        <v>607661.7453821227</v>
      </c>
      <c r="N14" s="18">
        <f>LJ27</f>
        <v>33850802.547557287</v>
      </c>
      <c r="O14" s="309">
        <f t="shared" ref="O14:O22" si="111">N14/N$24*100</f>
        <v>1.545488877705318</v>
      </c>
      <c r="P14" s="290">
        <f t="shared" si="61"/>
        <v>-3141527.7663891241</v>
      </c>
      <c r="Q14" s="18">
        <f t="shared" si="62"/>
        <v>-3742465.8597427085</v>
      </c>
      <c r="R14" s="310">
        <f t="shared" si="63"/>
        <v>-0.14555799379720735</v>
      </c>
      <c r="V14" s="249">
        <f>V12+1</f>
        <v>6</v>
      </c>
      <c r="W14" s="345" t="s">
        <v>176</v>
      </c>
      <c r="X14" s="20">
        <f>SUMPRODUCT($MM$6:$MM$25,IE6:IE25)</f>
        <v>-1972230.5140231708</v>
      </c>
      <c r="Y14" s="20">
        <f>SUMPRODUCT($MM$6:$MM$25,IF6:IF25)</f>
        <v>1003817.910765946</v>
      </c>
      <c r="Z14" s="20">
        <f>SUMPRODUCT($MM$6:$MM$25,IG6:IG25)</f>
        <v>3951110.9603480091</v>
      </c>
      <c r="AA14" s="20">
        <f>SUM(X14:Z14)</f>
        <v>2982698.3570907842</v>
      </c>
      <c r="AB14" s="20"/>
      <c r="AF14" s="385">
        <f t="shared" si="80"/>
        <v>8</v>
      </c>
      <c r="AG14" s="282" t="s">
        <v>27</v>
      </c>
      <c r="AH14" s="97"/>
      <c r="AI14" s="97"/>
      <c r="AJ14" s="97"/>
      <c r="AL14" s="464"/>
      <c r="AN14" s="283">
        <v>9</v>
      </c>
      <c r="AO14" s="390"/>
      <c r="AP14" s="97"/>
      <c r="AQ14" s="97" t="s">
        <v>230</v>
      </c>
      <c r="AR14" s="286"/>
      <c r="AS14" s="392">
        <v>936011.74</v>
      </c>
      <c r="AT14" s="393">
        <v>9.1275439563570718E-2</v>
      </c>
      <c r="AU14" s="394"/>
      <c r="AV14" s="392">
        <v>1523068.1600000001</v>
      </c>
      <c r="AW14" s="393">
        <v>0.14113218958319465</v>
      </c>
      <c r="AX14" s="383">
        <f t="shared" si="96"/>
        <v>0.54622306129679221</v>
      </c>
      <c r="AY14" s="394"/>
      <c r="AZ14" s="392">
        <v>2211207.06</v>
      </c>
      <c r="BA14" s="393">
        <v>0.17139322328365042</v>
      </c>
      <c r="BB14" s="383">
        <f t="shared" si="97"/>
        <v>0.2144162418922686</v>
      </c>
      <c r="BC14" s="394"/>
      <c r="BD14" s="392">
        <v>2871478.9273906099</v>
      </c>
      <c r="BE14" s="393">
        <v>0.19525756518837487</v>
      </c>
      <c r="BF14" s="383">
        <f t="shared" si="98"/>
        <v>0.13923737151048088</v>
      </c>
      <c r="BG14" s="394"/>
      <c r="BH14" s="392">
        <v>3068616.0090000001</v>
      </c>
      <c r="BI14" s="393">
        <v>0.20193027022305846</v>
      </c>
      <c r="BJ14" s="383">
        <f t="shared" si="99"/>
        <v>3.4173861731022326E-2</v>
      </c>
      <c r="BK14" s="394"/>
      <c r="BL14" s="392">
        <v>3403828.76</v>
      </c>
      <c r="BM14" s="393">
        <v>0.20235219545286309</v>
      </c>
      <c r="BN14" s="383">
        <f t="shared" si="100"/>
        <v>2.0894600365688465E-3</v>
      </c>
      <c r="BO14" s="394"/>
      <c r="BP14" s="392">
        <v>4538272.1100000003</v>
      </c>
      <c r="BQ14" s="393">
        <v>0.24467837835281422</v>
      </c>
      <c r="BR14" s="383">
        <f t="shared" si="101"/>
        <v>0.20917086076197666</v>
      </c>
      <c r="BS14" s="394"/>
      <c r="BT14" s="97">
        <v>5378012</v>
      </c>
      <c r="BU14" s="97">
        <v>0.27</v>
      </c>
      <c r="BV14" s="97">
        <f t="shared" si="102"/>
        <v>0.10348941258174138</v>
      </c>
      <c r="BW14" s="18">
        <v>1768561.8457999995</v>
      </c>
      <c r="BX14" s="19">
        <v>9.1364858283556505E-2</v>
      </c>
      <c r="BY14" s="19">
        <f t="shared" si="65"/>
        <v>-0.66161163598682782</v>
      </c>
      <c r="BZ14" s="19">
        <v>1718931.8145400002</v>
      </c>
      <c r="CA14" s="19">
        <v>8.4265613047061122E-2</v>
      </c>
      <c r="CB14" s="19">
        <f t="shared" si="66"/>
        <v>-7.7702142485269743E-2</v>
      </c>
      <c r="CC14" s="18">
        <f t="shared" si="103"/>
        <v>2147244.1196499998</v>
      </c>
      <c r="CD14" s="19">
        <f t="shared" si="103"/>
        <v>0.10331291834244472</v>
      </c>
      <c r="CE14" s="395">
        <f t="shared" si="104"/>
        <v>0.22603888593020671</v>
      </c>
      <c r="CF14" s="396">
        <f t="shared" si="68"/>
        <v>1.2940354569163843</v>
      </c>
      <c r="CG14" s="395">
        <f t="shared" si="105"/>
        <v>4.7208938117930366E-2</v>
      </c>
      <c r="DA14" s="518"/>
      <c r="DW14" s="96"/>
      <c r="DX14" s="96"/>
      <c r="DY14" s="96"/>
      <c r="DZ14" s="96"/>
      <c r="EN14" s="103"/>
      <c r="EO14" s="408"/>
      <c r="FD14" s="103"/>
      <c r="FE14" s="408"/>
      <c r="FG14" s="283">
        <f t="shared" si="84"/>
        <v>9</v>
      </c>
      <c r="FH14" s="406"/>
      <c r="FI14" s="407" t="s">
        <v>231</v>
      </c>
      <c r="FJ14" s="17">
        <v>305</v>
      </c>
      <c r="FK14" s="17">
        <v>8147.64</v>
      </c>
      <c r="FL14" s="17">
        <v>47697.71</v>
      </c>
      <c r="FM14" s="290">
        <f t="shared" si="28"/>
        <v>56150.35</v>
      </c>
      <c r="FN14" s="17">
        <v>305</v>
      </c>
      <c r="FO14" s="17">
        <v>8147.64</v>
      </c>
      <c r="FP14" s="17">
        <v>47697.71</v>
      </c>
      <c r="FQ14" s="17">
        <v>56150.35</v>
      </c>
      <c r="FR14" s="17">
        <v>56150.35</v>
      </c>
      <c r="FS14" s="103"/>
      <c r="FT14" s="408"/>
      <c r="FV14" s="467">
        <v>9</v>
      </c>
      <c r="FW14" s="471" t="s">
        <v>89</v>
      </c>
      <c r="FX14" s="469">
        <f t="shared" ref="FX14:GE14" si="112">SUM(FX6:FX13)</f>
        <v>246822.49</v>
      </c>
      <c r="FY14" s="469">
        <f t="shared" si="112"/>
        <v>506083.3639</v>
      </c>
      <c r="FZ14" s="469">
        <f t="shared" si="112"/>
        <v>1023549.4600000001</v>
      </c>
      <c r="GA14" s="470">
        <f t="shared" si="112"/>
        <v>1776455.3139000002</v>
      </c>
      <c r="GB14" s="469">
        <f t="shared" si="112"/>
        <v>0</v>
      </c>
      <c r="GC14" s="469">
        <f t="shared" si="112"/>
        <v>0</v>
      </c>
      <c r="GD14" s="469">
        <f t="shared" si="112"/>
        <v>0</v>
      </c>
      <c r="GE14" s="470">
        <f t="shared" si="112"/>
        <v>0</v>
      </c>
      <c r="GG14" s="408"/>
      <c r="GT14" s="408"/>
      <c r="GV14" s="467">
        <v>9</v>
      </c>
      <c r="GW14" s="471" t="s">
        <v>89</v>
      </c>
      <c r="GX14" s="469">
        <f>SUM(GX6:GX13)</f>
        <v>338710.07999999996</v>
      </c>
      <c r="GY14" s="469">
        <f t="shared" ref="GY14:GZ14" si="113">SUM(GY6:GY13)</f>
        <v>639089.70390000008</v>
      </c>
      <c r="GZ14" s="469">
        <f t="shared" si="113"/>
        <v>1457690.61</v>
      </c>
      <c r="HA14" s="470">
        <f>SUM(HA6:HA13)</f>
        <v>2435490.3939</v>
      </c>
      <c r="HB14" s="469">
        <f>SUM(HB6:HB13)</f>
        <v>11038</v>
      </c>
      <c r="HC14" s="469">
        <f t="shared" ref="HC14:HD14" si="114">SUM(HC6:HC13)</f>
        <v>21162.850000000006</v>
      </c>
      <c r="HD14" s="469">
        <f t="shared" si="114"/>
        <v>183737.05000000002</v>
      </c>
      <c r="HE14" s="470">
        <f>SUM(HE6:HE13)</f>
        <v>215937.90000000002</v>
      </c>
      <c r="HF14" s="475"/>
      <c r="HG14" s="408"/>
      <c r="HT14" s="443"/>
      <c r="HW14" s="283">
        <v>9</v>
      </c>
      <c r="HX14" s="306">
        <v>9</v>
      </c>
      <c r="HY14" s="306">
        <v>10</v>
      </c>
      <c r="HZ14" s="306">
        <v>9</v>
      </c>
      <c r="IA14" s="307">
        <v>50085735</v>
      </c>
      <c r="IB14" s="307">
        <v>44598622</v>
      </c>
      <c r="IC14" s="309">
        <f t="shared" si="5"/>
        <v>0.9</v>
      </c>
      <c r="ID14" s="309">
        <f t="shared" si="6"/>
        <v>0.89044559294178272</v>
      </c>
      <c r="IE14" s="310">
        <v>1</v>
      </c>
      <c r="IF14" s="310">
        <v>0</v>
      </c>
      <c r="IG14" s="310">
        <v>0</v>
      </c>
      <c r="IK14" s="410">
        <v>9</v>
      </c>
      <c r="IL14" s="317">
        <v>9</v>
      </c>
      <c r="IM14" s="313">
        <f t="shared" si="7"/>
        <v>0.89044559294178272</v>
      </c>
      <c r="IN14" s="17">
        <v>2159</v>
      </c>
      <c r="IO14" s="290">
        <f t="shared" si="29"/>
        <v>1922.4720351613089</v>
      </c>
      <c r="IP14" s="17">
        <v>5473056</v>
      </c>
      <c r="IQ14" s="290">
        <v>4857219</v>
      </c>
      <c r="IR14" s="17">
        <v>2271628.8179000001</v>
      </c>
      <c r="IS14" s="290">
        <v>1988526</v>
      </c>
      <c r="IT14" s="17">
        <v>225000</v>
      </c>
      <c r="IU14" s="17">
        <v>202500</v>
      </c>
      <c r="IV14" s="17">
        <f t="shared" si="30"/>
        <v>2498787.8179000001</v>
      </c>
      <c r="IW14" s="17">
        <f t="shared" si="30"/>
        <v>2192948.4720351612</v>
      </c>
      <c r="IX14" s="314"/>
      <c r="IY14" s="315"/>
      <c r="IZ14" s="314"/>
      <c r="JA14" s="316">
        <v>9</v>
      </c>
      <c r="JB14" s="317">
        <v>9</v>
      </c>
      <c r="JC14" s="318">
        <f t="shared" si="8"/>
        <v>0.9</v>
      </c>
      <c r="JD14" s="319">
        <f t="shared" si="8"/>
        <v>0.89044559294178272</v>
      </c>
      <c r="JE14" s="17">
        <v>661661.50272715127</v>
      </c>
      <c r="JF14" s="290">
        <f t="shared" si="70"/>
        <v>589173.56912262924</v>
      </c>
      <c r="JG14" s="17">
        <v>71999.531000000003</v>
      </c>
      <c r="JH14" s="290">
        <f t="shared" si="31"/>
        <v>64111.665072825272</v>
      </c>
      <c r="JI14" s="17">
        <v>537177.27627284871</v>
      </c>
      <c r="JJ14" s="290">
        <f t="shared" si="32"/>
        <v>483459.54864556383</v>
      </c>
      <c r="JK14" s="17">
        <v>562035.46705548721</v>
      </c>
      <c r="JL14" s="290">
        <v>509053.48675124033</v>
      </c>
      <c r="JM14" s="17">
        <v>75881.84</v>
      </c>
      <c r="JN14" s="290">
        <f t="shared" si="33"/>
        <v>67568.650012313476</v>
      </c>
      <c r="JO14" s="17">
        <v>76271.200000000012</v>
      </c>
      <c r="JP14" s="290">
        <f t="shared" si="34"/>
        <v>67915.353908381308</v>
      </c>
      <c r="JQ14" s="17">
        <v>98619.73000000001</v>
      </c>
      <c r="JR14" s="290">
        <f t="shared" si="35"/>
        <v>87815.503955608525</v>
      </c>
      <c r="JS14" s="17">
        <v>286453.18775000004</v>
      </c>
      <c r="JT14" s="290">
        <f t="shared" si="36"/>
        <v>255070.97861611258</v>
      </c>
      <c r="JU14" s="17">
        <f t="shared" si="37"/>
        <v>2370099.7348054876</v>
      </c>
      <c r="JV14" s="17">
        <f t="shared" si="37"/>
        <v>2124168.7560846745</v>
      </c>
      <c r="JW14" s="320">
        <f t="shared" si="9"/>
        <v>4.762857372778635</v>
      </c>
      <c r="KA14" s="283">
        <v>9</v>
      </c>
      <c r="KB14" s="306">
        <v>9</v>
      </c>
      <c r="KC14" s="97">
        <f t="shared" si="10"/>
        <v>9</v>
      </c>
      <c r="KD14" s="97">
        <f t="shared" si="11"/>
        <v>9</v>
      </c>
      <c r="KE14" s="289">
        <f t="shared" si="12"/>
        <v>44598622</v>
      </c>
      <c r="KF14" s="289">
        <f t="shared" si="13"/>
        <v>46241165.856738515</v>
      </c>
      <c r="KG14" s="321">
        <f t="shared" si="38"/>
        <v>1</v>
      </c>
      <c r="KH14" s="321">
        <f t="shared" si="39"/>
        <v>1.036829475510219</v>
      </c>
      <c r="KI14" s="321">
        <f t="shared" si="40"/>
        <v>0.94213552454776062</v>
      </c>
      <c r="KJ14" s="306" t="s">
        <v>441</v>
      </c>
      <c r="KK14" s="322"/>
      <c r="KL14" s="323"/>
      <c r="KM14" s="322"/>
      <c r="KN14" s="283">
        <v>9</v>
      </c>
      <c r="KO14" s="306">
        <v>9</v>
      </c>
      <c r="KP14" s="324" t="str">
        <f t="shared" si="14"/>
        <v>Q2</v>
      </c>
      <c r="KQ14" s="325">
        <f t="shared" si="15"/>
        <v>0.94213552454776062</v>
      </c>
      <c r="KR14" s="17">
        <f t="shared" si="41"/>
        <v>1922.4720351613089</v>
      </c>
      <c r="KS14" s="17">
        <f t="shared" si="42"/>
        <v>1811.2291992751007</v>
      </c>
      <c r="KT14" s="17">
        <f t="shared" si="16"/>
        <v>4857219</v>
      </c>
      <c r="KU14" s="17">
        <f t="shared" si="43"/>
        <v>5064014.5255386764</v>
      </c>
      <c r="KV14" s="17">
        <f t="shared" si="17"/>
        <v>1988526</v>
      </c>
      <c r="KW14" s="17">
        <f t="shared" si="18"/>
        <v>2779879.2928860663</v>
      </c>
      <c r="KX14" s="17">
        <f t="shared" si="44"/>
        <v>202500</v>
      </c>
      <c r="KY14" s="17">
        <f t="shared" si="45"/>
        <v>100469.63589884702</v>
      </c>
      <c r="KZ14" s="17">
        <f t="shared" si="46"/>
        <v>2192948.4720351612</v>
      </c>
      <c r="LA14" s="17">
        <f t="shared" si="46"/>
        <v>2882160.1579841883</v>
      </c>
      <c r="LB14" s="326"/>
      <c r="LC14" s="323"/>
      <c r="LD14" s="322"/>
      <c r="LE14" s="364">
        <f t="shared" si="71"/>
        <v>9</v>
      </c>
      <c r="LF14" s="365">
        <v>8</v>
      </c>
      <c r="LG14" s="411">
        <f t="shared" si="72"/>
        <v>1</v>
      </c>
      <c r="LH14" s="411">
        <f t="shared" si="72"/>
        <v>1.036829475510219</v>
      </c>
      <c r="LI14" s="412">
        <v>92.086954396969617</v>
      </c>
      <c r="LJ14" s="343">
        <f t="shared" si="73"/>
        <v>734151.06267061492</v>
      </c>
      <c r="LK14" s="412">
        <v>92.086954396969617</v>
      </c>
      <c r="LL14" s="343">
        <f t="shared" si="47"/>
        <v>84666.68460790682</v>
      </c>
      <c r="LM14" s="412">
        <v>92.086954396969617</v>
      </c>
      <c r="LN14" s="343">
        <f t="shared" si="48"/>
        <v>444199.10595647164</v>
      </c>
      <c r="LO14" s="412">
        <v>119.50379714140099</v>
      </c>
      <c r="LP14" s="343">
        <f t="shared" si="74"/>
        <v>615583.30830531428</v>
      </c>
      <c r="LQ14" s="412">
        <v>120.433043671646</v>
      </c>
      <c r="LR14" s="343">
        <f t="shared" si="49"/>
        <v>43025.067457354373</v>
      </c>
      <c r="LS14" s="412">
        <v>146.40099357416699</v>
      </c>
      <c r="LT14" s="343">
        <f t="shared" si="50"/>
        <v>61020.040074245146</v>
      </c>
      <c r="LU14" s="412">
        <v>116.183248398364</v>
      </c>
      <c r="LV14" s="343">
        <f t="shared" si="51"/>
        <v>51671.620489041117</v>
      </c>
      <c r="LW14" s="412">
        <v>117.5956284153</v>
      </c>
      <c r="LX14" s="343">
        <f t="shared" si="52"/>
        <v>284057.00234787184</v>
      </c>
      <c r="LY14" s="20">
        <f t="shared" si="53"/>
        <v>2216605.1023086514</v>
      </c>
      <c r="LZ14" s="20">
        <f t="shared" si="75"/>
        <v>2318373.8919088198</v>
      </c>
      <c r="MA14" s="103"/>
      <c r="MB14" s="335"/>
      <c r="MD14" s="283">
        <v>9</v>
      </c>
      <c r="ME14" s="336">
        <v>9</v>
      </c>
      <c r="MF14" s="17">
        <f t="shared" si="19"/>
        <v>2498787.8179000001</v>
      </c>
      <c r="MG14" s="17">
        <f t="shared" si="19"/>
        <v>2192948.4720351612</v>
      </c>
      <c r="MH14" s="290">
        <f t="shared" si="20"/>
        <v>2882160.1579841883</v>
      </c>
      <c r="MI14" s="17">
        <f t="shared" si="21"/>
        <v>2370099.7348054876</v>
      </c>
      <c r="MJ14" s="17">
        <f t="shared" si="21"/>
        <v>2124168.7560846745</v>
      </c>
      <c r="MK14" s="290">
        <f t="shared" si="54"/>
        <v>2001254.845241799</v>
      </c>
      <c r="ML14" s="17">
        <f t="shared" si="55"/>
        <v>128688.08309451258</v>
      </c>
      <c r="MM14" s="17">
        <f t="shared" si="55"/>
        <v>68779.715950486716</v>
      </c>
      <c r="MN14" s="17">
        <f t="shared" si="55"/>
        <v>880905.31274238927</v>
      </c>
      <c r="MR14" s="475"/>
      <c r="MX14" s="338">
        <f t="shared" si="85"/>
        <v>8</v>
      </c>
      <c r="MY14" s="346" t="s">
        <v>47</v>
      </c>
      <c r="MZ14" s="20">
        <f t="shared" ref="MZ14:MZ21" si="115">N14</f>
        <v>33850802.547557287</v>
      </c>
      <c r="NA14" s="414">
        <f t="shared" ref="NA14:NA21" si="116">MZ14/$MZ$34*100</f>
        <v>1.545488877705318</v>
      </c>
      <c r="NC14" s="15">
        <f t="shared" ref="NC14:NC20" si="117">MZ14</f>
        <v>33850802.547557287</v>
      </c>
      <c r="ND14" s="414">
        <f t="shared" ref="ND14:ND21" si="118">NC14/$ND$34*100</f>
        <v>1.545488877705318</v>
      </c>
      <c r="NH14" s="338">
        <f t="shared" si="86"/>
        <v>8</v>
      </c>
      <c r="NI14" s="346" t="str">
        <f t="shared" si="58"/>
        <v>Direct Labour</v>
      </c>
      <c r="NJ14" s="20">
        <v>49085970.937008202</v>
      </c>
      <c r="NK14" s="20">
        <f t="shared" ref="NK14:NK21" si="119">MZ14</f>
        <v>33850802.547557287</v>
      </c>
      <c r="NL14" s="20">
        <f t="shared" si="77"/>
        <v>-15235168.389450915</v>
      </c>
      <c r="NM14" s="351">
        <f t="shared" si="78"/>
        <v>-0.31037724422324531</v>
      </c>
    </row>
    <row r="15" spans="2:387" x14ac:dyDescent="0.3">
      <c r="B15" s="226">
        <f t="shared" si="79"/>
        <v>10</v>
      </c>
      <c r="C15" s="339"/>
      <c r="D15" s="518" t="s">
        <v>48</v>
      </c>
      <c r="E15" s="340"/>
      <c r="F15" s="15">
        <f>DA9</f>
        <v>2147244.1196499998</v>
      </c>
      <c r="G15" s="341">
        <f t="shared" si="108"/>
        <v>0.10331291834244472</v>
      </c>
      <c r="H15" s="15">
        <f>DD9</f>
        <v>2147299.9196500001</v>
      </c>
      <c r="I15" s="342">
        <f t="shared" si="109"/>
        <v>0.103067364543576</v>
      </c>
      <c r="J15" s="343">
        <f t="shared" si="59"/>
        <v>55.800000000279397</v>
      </c>
      <c r="K15" s="15">
        <f>JH26</f>
        <v>2193064.0614437284</v>
      </c>
      <c r="L15" s="342">
        <f t="shared" si="110"/>
        <v>0.10381391454912514</v>
      </c>
      <c r="M15" s="343">
        <f t="shared" si="60"/>
        <v>45764.14179372834</v>
      </c>
      <c r="N15" s="15">
        <f>LL27</f>
        <v>2027639.7678979416</v>
      </c>
      <c r="O15" s="342">
        <f t="shared" si="111"/>
        <v>9.2573719777447105E-2</v>
      </c>
      <c r="P15" s="343">
        <f t="shared" si="61"/>
        <v>-165424.29354578676</v>
      </c>
      <c r="Q15" s="15">
        <f t="shared" si="62"/>
        <v>-119604.35175205814</v>
      </c>
      <c r="R15" s="344">
        <f t="shared" si="63"/>
        <v>-0.10394826452778227</v>
      </c>
      <c r="V15" s="385">
        <f t="shared" si="64"/>
        <v>7</v>
      </c>
      <c r="W15" s="386" t="s">
        <v>185</v>
      </c>
      <c r="X15" s="309">
        <f>X14/K$24*100</f>
        <v>-9.3360232221940578E-2</v>
      </c>
      <c r="Y15" s="309">
        <f>Y14/K$24*100</f>
        <v>4.7518113420970481E-2</v>
      </c>
      <c r="Z15" s="309">
        <f>Z14/K$24*100</f>
        <v>0.18703525483959274</v>
      </c>
      <c r="AA15" s="309">
        <f>AA14/K$24*100</f>
        <v>0.14119313603862266</v>
      </c>
      <c r="AB15" s="342"/>
      <c r="AC15" s="348"/>
      <c r="AF15" s="249">
        <f t="shared" si="80"/>
        <v>9</v>
      </c>
      <c r="AG15" s="346" t="s">
        <v>78</v>
      </c>
      <c r="AH15" s="105">
        <f>AH11*JF27</f>
        <v>1801167.6941681006</v>
      </c>
      <c r="AI15" s="105">
        <f>AI11*JH27</f>
        <v>113098.61174829236</v>
      </c>
      <c r="AJ15" s="105">
        <f>AJ11*JJ27</f>
        <v>547397.97344627196</v>
      </c>
      <c r="AL15" s="464"/>
      <c r="AN15" s="338">
        <v>10</v>
      </c>
      <c r="AO15" s="96"/>
      <c r="AQ15" s="518" t="s">
        <v>49</v>
      </c>
      <c r="AR15" s="340"/>
      <c r="AS15" s="348">
        <v>7353821.8799999999</v>
      </c>
      <c r="AT15" s="349">
        <v>0.71710994198556099</v>
      </c>
      <c r="AU15" s="350"/>
      <c r="AV15" s="348">
        <v>7828448.5450000018</v>
      </c>
      <c r="AW15" s="349">
        <v>0.72540816833517452</v>
      </c>
      <c r="AX15" s="351">
        <f t="shared" si="96"/>
        <v>1.1571763078109143E-2</v>
      </c>
      <c r="AY15" s="350"/>
      <c r="AZ15" s="348">
        <v>8035314.9274999993</v>
      </c>
      <c r="BA15" s="349">
        <v>0.62282657759036675</v>
      </c>
      <c r="BB15" s="351">
        <f t="shared" si="97"/>
        <v>-0.14141223551457172</v>
      </c>
      <c r="BC15" s="350"/>
      <c r="BD15" s="348">
        <v>8562729.5753158554</v>
      </c>
      <c r="BE15" s="349">
        <v>0.58225665955417472</v>
      </c>
      <c r="BF15" s="351">
        <f t="shared" si="98"/>
        <v>-6.5138386022561279E-2</v>
      </c>
      <c r="BG15" s="350"/>
      <c r="BH15" s="348">
        <v>11045828.998199999</v>
      </c>
      <c r="BI15" s="349">
        <v>0.72687075473189988</v>
      </c>
      <c r="BJ15" s="351">
        <f t="shared" si="99"/>
        <v>0.24836829739045663</v>
      </c>
      <c r="BK15" s="350"/>
      <c r="BL15" s="348">
        <v>11568330.944249999</v>
      </c>
      <c r="BM15" s="349">
        <v>0.68771883938552769</v>
      </c>
      <c r="BN15" s="351">
        <f t="shared" si="100"/>
        <v>-5.3863654702703045E-2</v>
      </c>
      <c r="BO15" s="350"/>
      <c r="BP15" s="348">
        <v>12592679.530000001</v>
      </c>
      <c r="BQ15" s="349">
        <v>0.67892720661852923</v>
      </c>
      <c r="BR15" s="351">
        <f t="shared" si="101"/>
        <v>-1.2783760257104038E-2</v>
      </c>
      <c r="BS15" s="350"/>
      <c r="BT15" s="518">
        <v>14006160</v>
      </c>
      <c r="BU15" s="518">
        <v>0.71</v>
      </c>
      <c r="BV15" s="518">
        <f t="shared" si="102"/>
        <v>4.5767488883281304E-2</v>
      </c>
      <c r="BW15" s="15">
        <v>14529003.2212</v>
      </c>
      <c r="BX15" s="16">
        <v>0.75057613815354784</v>
      </c>
      <c r="BY15" s="16">
        <f t="shared" si="65"/>
        <v>5.71494903571097E-2</v>
      </c>
      <c r="BZ15" s="16">
        <v>16169362.853399999</v>
      </c>
      <c r="CA15" s="16">
        <v>0.79265580047847906</v>
      </c>
      <c r="CB15" s="16">
        <f t="shared" si="66"/>
        <v>5.6063149607245899E-2</v>
      </c>
      <c r="CC15" s="15">
        <f t="shared" si="103"/>
        <v>15891148.762049999</v>
      </c>
      <c r="CD15" s="16">
        <f t="shared" si="103"/>
        <v>0.76458980113025965</v>
      </c>
      <c r="CE15" s="352">
        <f t="shared" si="104"/>
        <v>-3.5407549318730358E-2</v>
      </c>
      <c r="CF15" s="353">
        <f t="shared" si="68"/>
        <v>1.1609374038918112</v>
      </c>
      <c r="CG15" s="352">
        <f t="shared" si="105"/>
        <v>4.3737368471468585E-2</v>
      </c>
      <c r="DA15" s="518"/>
      <c r="DK15" s="518"/>
      <c r="DQ15" s="537"/>
      <c r="DR15" s="537"/>
      <c r="DS15" s="537"/>
      <c r="DT15" s="537"/>
      <c r="DU15" s="537"/>
      <c r="DV15" s="537"/>
      <c r="DW15" s="537"/>
      <c r="DX15" s="537"/>
      <c r="DY15" s="537"/>
      <c r="DZ15" s="537"/>
      <c r="EN15" s="105"/>
      <c r="EO15" s="408"/>
      <c r="FD15" s="105"/>
      <c r="FE15" s="408"/>
      <c r="FG15" s="338">
        <f t="shared" si="84"/>
        <v>10</v>
      </c>
      <c r="FH15" s="360"/>
      <c r="FI15" s="361" t="s">
        <v>232</v>
      </c>
      <c r="FJ15" s="20">
        <v>31426.501999999997</v>
      </c>
      <c r="FK15" s="20">
        <v>84299.290000000008</v>
      </c>
      <c r="FL15" s="20">
        <v>302468.21000000002</v>
      </c>
      <c r="FM15" s="343">
        <f t="shared" si="28"/>
        <v>418194.00199999998</v>
      </c>
      <c r="FN15" s="20">
        <v>31693.168666666661</v>
      </c>
      <c r="FO15" s="20">
        <v>84736.09</v>
      </c>
      <c r="FP15" s="20">
        <v>302468.21000000002</v>
      </c>
      <c r="FQ15" s="20">
        <v>418897.46866666671</v>
      </c>
      <c r="FR15" s="20">
        <v>418897.46866666671</v>
      </c>
      <c r="FS15" s="103"/>
      <c r="FT15" s="408"/>
      <c r="GI15" s="481"/>
      <c r="GJ15" s="279"/>
      <c r="GK15" s="279"/>
      <c r="GL15" s="279"/>
      <c r="GM15" s="279"/>
      <c r="GN15" s="279"/>
      <c r="GO15" s="279"/>
      <c r="GP15" s="279"/>
      <c r="GQ15" s="279"/>
      <c r="GR15" s="279"/>
      <c r="HW15" s="338">
        <v>10</v>
      </c>
      <c r="HX15" s="322">
        <v>10</v>
      </c>
      <c r="HY15" s="322">
        <v>10</v>
      </c>
      <c r="HZ15" s="322">
        <v>12</v>
      </c>
      <c r="IA15" s="347">
        <v>66094200.81818182</v>
      </c>
      <c r="IB15" s="347">
        <v>78681161</v>
      </c>
      <c r="IC15" s="342">
        <f t="shared" si="5"/>
        <v>1.2</v>
      </c>
      <c r="ID15" s="342">
        <f t="shared" si="6"/>
        <v>1.1904397061467402</v>
      </c>
      <c r="IE15" s="344">
        <v>0.58333333333333337</v>
      </c>
      <c r="IF15" s="344">
        <v>0.41666666666666669</v>
      </c>
      <c r="IG15" s="344">
        <v>0</v>
      </c>
      <c r="IK15" s="364">
        <v>10</v>
      </c>
      <c r="IL15" s="365">
        <v>10</v>
      </c>
      <c r="IM15" s="341">
        <f t="shared" si="7"/>
        <v>1.1904397061467402</v>
      </c>
      <c r="IN15" s="20">
        <v>185.75</v>
      </c>
      <c r="IO15" s="343">
        <f t="shared" si="29"/>
        <v>221.124175416757</v>
      </c>
      <c r="IP15" s="20">
        <v>7200809.3636363633</v>
      </c>
      <c r="IQ15" s="343">
        <v>8577715</v>
      </c>
      <c r="IR15" s="20">
        <v>2984607.290836364</v>
      </c>
      <c r="IS15" s="343">
        <v>3513562</v>
      </c>
      <c r="IT15" s="20">
        <v>225000</v>
      </c>
      <c r="IU15" s="20">
        <v>270000</v>
      </c>
      <c r="IV15" s="20">
        <f t="shared" si="30"/>
        <v>3209793.040836364</v>
      </c>
      <c r="IW15" s="20">
        <f t="shared" si="30"/>
        <v>3783783.1241754168</v>
      </c>
      <c r="IX15" s="314"/>
      <c r="IY15" s="315"/>
      <c r="IZ15" s="314"/>
      <c r="JA15" s="366">
        <v>10</v>
      </c>
      <c r="JB15" s="365">
        <v>10</v>
      </c>
      <c r="JC15" s="367">
        <f t="shared" si="8"/>
        <v>1.2</v>
      </c>
      <c r="JD15" s="368">
        <f t="shared" si="8"/>
        <v>1.1904397061467402</v>
      </c>
      <c r="JE15" s="20">
        <v>1073020.2636695188</v>
      </c>
      <c r="JF15" s="343">
        <f t="shared" si="70"/>
        <v>1277365.9273722395</v>
      </c>
      <c r="JG15" s="20">
        <v>89875.028000000006</v>
      </c>
      <c r="JH15" s="343">
        <f t="shared" si="31"/>
        <v>106990.80192225006</v>
      </c>
      <c r="JI15" s="20">
        <v>572414.47014866315</v>
      </c>
      <c r="JJ15" s="343">
        <f t="shared" si="32"/>
        <v>686897.36417839571</v>
      </c>
      <c r="JK15" s="20">
        <v>662231.94988330337</v>
      </c>
      <c r="JL15" s="343">
        <v>791101.506315395</v>
      </c>
      <c r="JM15" s="20">
        <v>116059.51709090911</v>
      </c>
      <c r="JN15" s="343">
        <f t="shared" si="33"/>
        <v>138161.85742123442</v>
      </c>
      <c r="JO15" s="20">
        <v>46136.540909090909</v>
      </c>
      <c r="JP15" s="343">
        <f t="shared" si="34"/>
        <v>54922.770202445237</v>
      </c>
      <c r="JQ15" s="20">
        <v>82525.475909090906</v>
      </c>
      <c r="JR15" s="343">
        <f t="shared" si="35"/>
        <v>98241.603290838073</v>
      </c>
      <c r="JS15" s="20">
        <v>322787.53398636356</v>
      </c>
      <c r="JT15" s="343">
        <f t="shared" si="36"/>
        <v>384259.09710655757</v>
      </c>
      <c r="JU15" s="20">
        <f t="shared" si="37"/>
        <v>2965050.7795969401</v>
      </c>
      <c r="JV15" s="20">
        <f t="shared" si="37"/>
        <v>3537940.9278093553</v>
      </c>
      <c r="JW15" s="369">
        <f t="shared" si="9"/>
        <v>4.4965540452680353</v>
      </c>
      <c r="KA15" s="338">
        <v>10</v>
      </c>
      <c r="KB15" s="322">
        <v>10</v>
      </c>
      <c r="KC15" s="518">
        <f t="shared" si="10"/>
        <v>12</v>
      </c>
      <c r="KD15" s="518">
        <f t="shared" si="11"/>
        <v>12</v>
      </c>
      <c r="KE15" s="370">
        <f t="shared" si="12"/>
        <v>78681161</v>
      </c>
      <c r="KF15" s="370">
        <f t="shared" si="13"/>
        <v>81578946.892165095</v>
      </c>
      <c r="KG15" s="371">
        <f t="shared" si="38"/>
        <v>1</v>
      </c>
      <c r="KH15" s="371">
        <f t="shared" si="39"/>
        <v>1.036829475510219</v>
      </c>
      <c r="KI15" s="371">
        <f t="shared" si="40"/>
        <v>0.96767814675727748</v>
      </c>
      <c r="KJ15" s="322" t="s">
        <v>256</v>
      </c>
      <c r="KK15" s="322"/>
      <c r="KL15" s="323"/>
      <c r="KM15" s="322"/>
      <c r="KN15" s="338">
        <v>10</v>
      </c>
      <c r="KO15" s="322">
        <v>10</v>
      </c>
      <c r="KP15" s="437" t="str">
        <f t="shared" si="14"/>
        <v>Q3</v>
      </c>
      <c r="KQ15" s="373">
        <f t="shared" si="15"/>
        <v>0.96767814675727748</v>
      </c>
      <c r="KR15" s="358">
        <f t="shared" si="41"/>
        <v>221.124175416757</v>
      </c>
      <c r="KS15" s="358">
        <f t="shared" si="42"/>
        <v>213.97703227051855</v>
      </c>
      <c r="KT15" s="358">
        <f t="shared" si="16"/>
        <v>8577715</v>
      </c>
      <c r="KU15" s="358">
        <f t="shared" si="43"/>
        <v>8933965.3182613403</v>
      </c>
      <c r="KV15" s="358">
        <f t="shared" si="17"/>
        <v>3513562</v>
      </c>
      <c r="KW15" s="358">
        <f t="shared" si="18"/>
        <v>4904280.0067709424</v>
      </c>
      <c r="KX15" s="358">
        <f t="shared" si="44"/>
        <v>270000</v>
      </c>
      <c r="KY15" s="358">
        <f t="shared" si="45"/>
        <v>177249.14455358198</v>
      </c>
      <c r="KZ15" s="358">
        <f t="shared" si="46"/>
        <v>3783783.1241754168</v>
      </c>
      <c r="LA15" s="358">
        <f t="shared" si="46"/>
        <v>5081743.1283567948</v>
      </c>
      <c r="LB15" s="326"/>
      <c r="LC15" s="323"/>
      <c r="LD15" s="322"/>
      <c r="LE15" s="374">
        <f t="shared" si="71"/>
        <v>10</v>
      </c>
      <c r="LF15" s="375">
        <v>9</v>
      </c>
      <c r="LG15" s="376">
        <f t="shared" si="72"/>
        <v>1</v>
      </c>
      <c r="LH15" s="376">
        <f t="shared" si="72"/>
        <v>1.036829475510219</v>
      </c>
      <c r="LI15" s="377">
        <v>113.92083696213525</v>
      </c>
      <c r="LJ15" s="290">
        <f t="shared" si="73"/>
        <v>503499.02415293391</v>
      </c>
      <c r="LK15" s="377">
        <v>113.92083696213525</v>
      </c>
      <c r="LL15" s="290">
        <f t="shared" si="47"/>
        <v>54788.881397136371</v>
      </c>
      <c r="LM15" s="377">
        <v>113.92083696213525</v>
      </c>
      <c r="LN15" s="290">
        <f t="shared" si="48"/>
        <v>398481.51935421076</v>
      </c>
      <c r="LO15" s="377">
        <v>118.41952153062</v>
      </c>
      <c r="LP15" s="290">
        <f t="shared" si="74"/>
        <v>533357.53493713646</v>
      </c>
      <c r="LQ15" s="377">
        <v>118.887537452888</v>
      </c>
      <c r="LR15" s="290">
        <f t="shared" si="49"/>
        <v>73611.059778554903</v>
      </c>
      <c r="LS15" s="377">
        <v>168.49721907230401</v>
      </c>
      <c r="LT15" s="290">
        <f t="shared" si="50"/>
        <v>59683.560022315934</v>
      </c>
      <c r="LU15" s="377">
        <v>107.679074448752</v>
      </c>
      <c r="LV15" s="290">
        <f t="shared" si="51"/>
        <v>99698.570236398911</v>
      </c>
      <c r="LW15" s="377">
        <v>115.99271402550001</v>
      </c>
      <c r="LX15" s="378">
        <f t="shared" si="52"/>
        <v>278134.69536311185</v>
      </c>
      <c r="LY15" s="379">
        <f t="shared" si="53"/>
        <v>2124168.7560846745</v>
      </c>
      <c r="LZ15" s="379">
        <f t="shared" si="75"/>
        <v>2001254.845241799</v>
      </c>
      <c r="MA15" s="103"/>
      <c r="MB15" s="335"/>
      <c r="MD15" s="338">
        <v>10</v>
      </c>
      <c r="ME15" s="380">
        <v>10</v>
      </c>
      <c r="MF15" s="20">
        <f t="shared" si="19"/>
        <v>3209793.040836364</v>
      </c>
      <c r="MG15" s="20">
        <f t="shared" si="19"/>
        <v>3783783.1241754168</v>
      </c>
      <c r="MH15" s="343">
        <f t="shared" si="20"/>
        <v>5081743.1283567948</v>
      </c>
      <c r="MI15" s="20">
        <f t="shared" si="21"/>
        <v>2965050.7795969401</v>
      </c>
      <c r="MJ15" s="20">
        <f t="shared" si="21"/>
        <v>3537940.9278093553</v>
      </c>
      <c r="MK15" s="343">
        <f t="shared" si="54"/>
        <v>3423588.1203592797</v>
      </c>
      <c r="ML15" s="20">
        <f t="shared" si="55"/>
        <v>244742.26123942388</v>
      </c>
      <c r="MM15" s="20">
        <f t="shared" si="55"/>
        <v>245842.19636606146</v>
      </c>
      <c r="MN15" s="20">
        <f t="shared" si="55"/>
        <v>1658155.0079975151</v>
      </c>
      <c r="MX15" s="283">
        <f t="shared" si="85"/>
        <v>9</v>
      </c>
      <c r="MY15" s="388" t="s">
        <v>58</v>
      </c>
      <c r="MZ15" s="17">
        <f t="shared" si="115"/>
        <v>2027639.7678979416</v>
      </c>
      <c r="NA15" s="381">
        <f t="shared" si="116"/>
        <v>9.2573719777447105E-2</v>
      </c>
      <c r="NB15" s="97"/>
      <c r="NC15" s="18">
        <f t="shared" si="117"/>
        <v>2027639.7678979416</v>
      </c>
      <c r="ND15" s="381">
        <f t="shared" si="118"/>
        <v>9.2573719777447105E-2</v>
      </c>
      <c r="NH15" s="283">
        <f t="shared" si="86"/>
        <v>9</v>
      </c>
      <c r="NI15" s="388" t="str">
        <f t="shared" si="58"/>
        <v>Contract Labour</v>
      </c>
      <c r="NJ15" s="17">
        <v>2413478.5233385852</v>
      </c>
      <c r="NK15" s="17">
        <f t="shared" si="119"/>
        <v>2027639.7678979416</v>
      </c>
      <c r="NL15" s="17">
        <f t="shared" si="77"/>
        <v>-385838.75544064352</v>
      </c>
      <c r="NM15" s="395">
        <f t="shared" si="78"/>
        <v>-0.15986831940269744</v>
      </c>
    </row>
    <row r="16" spans="2:387" x14ac:dyDescent="0.3">
      <c r="B16" s="265">
        <f t="shared" si="79"/>
        <v>11</v>
      </c>
      <c r="C16" s="384"/>
      <c r="D16" s="97" t="s">
        <v>49</v>
      </c>
      <c r="E16" s="286"/>
      <c r="F16" s="18">
        <f>DK9</f>
        <v>15891148.762049999</v>
      </c>
      <c r="G16" s="313">
        <f t="shared" si="108"/>
        <v>0.76458980113025965</v>
      </c>
      <c r="H16" s="18">
        <f>DM9</f>
        <v>17229598.204603884</v>
      </c>
      <c r="I16" s="309">
        <f t="shared" si="109"/>
        <v>0.82699638874046988</v>
      </c>
      <c r="J16" s="290">
        <f t="shared" si="59"/>
        <v>1338449.4425538853</v>
      </c>
      <c r="K16" s="18">
        <f>JJ26</f>
        <v>17704130.732731506</v>
      </c>
      <c r="L16" s="309">
        <f t="shared" si="110"/>
        <v>0.83806722629177899</v>
      </c>
      <c r="M16" s="290">
        <f t="shared" si="60"/>
        <v>474532.52812762186</v>
      </c>
      <c r="N16" s="18">
        <f>LN27</f>
        <v>15711197.861928774</v>
      </c>
      <c r="O16" s="309">
        <f t="shared" si="111"/>
        <v>0.71730888852414143</v>
      </c>
      <c r="P16" s="290">
        <f t="shared" si="61"/>
        <v>-1992932.8708027322</v>
      </c>
      <c r="Q16" s="18">
        <f t="shared" si="62"/>
        <v>-179950.90012122504</v>
      </c>
      <c r="R16" s="310">
        <f t="shared" si="63"/>
        <v>-6.1838272674086037E-2</v>
      </c>
      <c r="V16" s="249">
        <f t="shared" si="64"/>
        <v>8</v>
      </c>
      <c r="W16" s="463" t="s">
        <v>134</v>
      </c>
      <c r="X16" s="20">
        <f>X14-X10</f>
        <v>1139133.5835034992</v>
      </c>
      <c r="Y16" s="20">
        <f t="shared" ref="Y16:AA16" si="120">Y14-Y10</f>
        <v>1002184.7413331178</v>
      </c>
      <c r="Z16" s="20">
        <f t="shared" si="120"/>
        <v>-2317494.9093960105</v>
      </c>
      <c r="AA16" s="20">
        <f t="shared" si="120"/>
        <v>-176176.58455939358</v>
      </c>
      <c r="AB16" s="20"/>
      <c r="AC16" s="349"/>
      <c r="AF16" s="385">
        <f t="shared" si="80"/>
        <v>10</v>
      </c>
      <c r="AG16" s="388" t="s">
        <v>186</v>
      </c>
      <c r="AH16" s="389">
        <f>AH15*3600/$K$24</f>
        <v>3.0694523728800589</v>
      </c>
      <c r="AI16" s="389">
        <f>AI15*3600/$K$24</f>
        <v>0.19273652493560511</v>
      </c>
      <c r="AJ16" s="389">
        <f>AJ15*3600/$K$24</f>
        <v>0.93284596095336303</v>
      </c>
      <c r="AL16" s="464"/>
      <c r="AN16" s="283">
        <f>AN15+1</f>
        <v>11</v>
      </c>
      <c r="AO16" s="390"/>
      <c r="AP16" s="390"/>
      <c r="AQ16" s="390" t="s">
        <v>50</v>
      </c>
      <c r="AR16" s="286"/>
      <c r="AS16" s="392">
        <v>3443976.8344000001</v>
      </c>
      <c r="AT16" s="393">
        <v>0.33584033829171284</v>
      </c>
      <c r="AU16" s="394"/>
      <c r="AV16" s="392">
        <v>5716425.9886499979</v>
      </c>
      <c r="AW16" s="393">
        <v>0.52970164931322072</v>
      </c>
      <c r="AX16" s="383">
        <f t="shared" si="96"/>
        <v>0.57724248375762066</v>
      </c>
      <c r="AY16" s="394"/>
      <c r="AZ16" s="392">
        <v>7023487.4984412417</v>
      </c>
      <c r="BA16" s="393">
        <v>0.54439866027303074</v>
      </c>
      <c r="BB16" s="383">
        <f t="shared" si="97"/>
        <v>2.7745828201338085E-2</v>
      </c>
      <c r="BC16" s="394"/>
      <c r="BD16" s="392">
        <v>8390599.8471698686</v>
      </c>
      <c r="BE16" s="393">
        <v>0.57055201798647071</v>
      </c>
      <c r="BF16" s="383">
        <f t="shared" si="98"/>
        <v>4.8040819388356581E-2</v>
      </c>
      <c r="BG16" s="394"/>
      <c r="BH16" s="392">
        <v>9500186.8885000013</v>
      </c>
      <c r="BI16" s="393">
        <v>0.62515977885076657</v>
      </c>
      <c r="BJ16" s="383">
        <f t="shared" si="99"/>
        <v>9.5710398250822948E-2</v>
      </c>
      <c r="BK16" s="394"/>
      <c r="BL16" s="392">
        <v>10661854.069499999</v>
      </c>
      <c r="BM16" s="393">
        <v>0.63383023373989222</v>
      </c>
      <c r="BN16" s="383">
        <f t="shared" si="100"/>
        <v>1.386918221940725E-2</v>
      </c>
      <c r="BO16" s="394"/>
      <c r="BP16" s="392">
        <v>13069899.7289</v>
      </c>
      <c r="BQ16" s="393">
        <v>0.70465626418798799</v>
      </c>
      <c r="BR16" s="383">
        <f t="shared" si="101"/>
        <v>0.11174290319063718</v>
      </c>
      <c r="BS16" s="394"/>
      <c r="BT16" s="97">
        <v>15592449</v>
      </c>
      <c r="BU16" s="97">
        <v>0.79</v>
      </c>
      <c r="BV16" s="97">
        <f t="shared" si="102"/>
        <v>0.12111399578680837</v>
      </c>
      <c r="BW16" s="18">
        <v>21298745.488500003</v>
      </c>
      <c r="BX16" s="19">
        <v>1.100304672859262</v>
      </c>
      <c r="BY16" s="19">
        <f t="shared" si="65"/>
        <v>0.39279072513830626</v>
      </c>
      <c r="BZ16" s="19">
        <v>23700279.210100003</v>
      </c>
      <c r="CA16" s="19">
        <v>1.1618369851162706</v>
      </c>
      <c r="CB16" s="19">
        <f t="shared" si="66"/>
        <v>5.5922976403535829E-2</v>
      </c>
      <c r="CC16" s="18">
        <f t="shared" si="103"/>
        <v>24697713.659500003</v>
      </c>
      <c r="CD16" s="19">
        <f t="shared" si="103"/>
        <v>1.1883105657147701</v>
      </c>
      <c r="CE16" s="395">
        <f t="shared" si="104"/>
        <v>2.2785968201769924E-2</v>
      </c>
      <c r="CF16" s="396">
        <f t="shared" si="68"/>
        <v>6.1712775221970295</v>
      </c>
      <c r="CG16" s="395">
        <f t="shared" si="105"/>
        <v>0.11566328314482499</v>
      </c>
      <c r="DA16" s="518"/>
      <c r="DK16" s="518"/>
      <c r="DQ16" s="537"/>
      <c r="DR16" s="537"/>
      <c r="DS16" s="537"/>
      <c r="DT16" s="537"/>
      <c r="DU16" s="537"/>
      <c r="DV16" s="537"/>
      <c r="DW16" s="537"/>
      <c r="DX16" s="537"/>
      <c r="DY16" s="537"/>
      <c r="DZ16" s="537"/>
      <c r="EN16" s="482"/>
      <c r="EO16" s="408"/>
      <c r="FD16" s="482"/>
      <c r="FE16" s="408"/>
      <c r="FG16" s="283">
        <f t="shared" si="84"/>
        <v>11</v>
      </c>
      <c r="FH16" s="406"/>
      <c r="FI16" s="407" t="s">
        <v>233</v>
      </c>
      <c r="FJ16" s="17">
        <v>83333.559999999983</v>
      </c>
      <c r="FK16" s="17">
        <v>215960.19999999998</v>
      </c>
      <c r="FL16" s="17">
        <v>506222.52</v>
      </c>
      <c r="FM16" s="290">
        <f t="shared" si="28"/>
        <v>805516.27999999991</v>
      </c>
      <c r="FN16" s="17">
        <v>87054.353030303013</v>
      </c>
      <c r="FO16" s="17">
        <v>217398.19999999998</v>
      </c>
      <c r="FP16" s="17">
        <v>506222.52000000014</v>
      </c>
      <c r="FQ16" s="17">
        <v>810675.07303030312</v>
      </c>
      <c r="FR16" s="17">
        <v>810675.07303030312</v>
      </c>
      <c r="FS16" s="103"/>
      <c r="FT16" s="408"/>
      <c r="GK16" s="344"/>
      <c r="GL16" s="344"/>
      <c r="GM16" s="344"/>
      <c r="GN16" s="344"/>
      <c r="GO16" s="344"/>
      <c r="GP16" s="344"/>
      <c r="GQ16" s="344"/>
      <c r="GR16" s="344"/>
      <c r="HW16" s="283">
        <v>11</v>
      </c>
      <c r="HX16" s="306">
        <v>11</v>
      </c>
      <c r="HY16" s="306">
        <v>10</v>
      </c>
      <c r="HZ16" s="306">
        <v>10</v>
      </c>
      <c r="IA16" s="307">
        <v>80622257</v>
      </c>
      <c r="IB16" s="307">
        <v>83015823</v>
      </c>
      <c r="IC16" s="309">
        <f t="shared" si="5"/>
        <v>1</v>
      </c>
      <c r="ID16" s="309">
        <f t="shared" si="6"/>
        <v>1.0296886503685949</v>
      </c>
      <c r="IE16" s="310">
        <v>0</v>
      </c>
      <c r="IF16" s="310">
        <v>1</v>
      </c>
      <c r="IG16" s="310">
        <v>0</v>
      </c>
      <c r="IK16" s="410">
        <v>11</v>
      </c>
      <c r="IL16" s="317">
        <v>11</v>
      </c>
      <c r="IM16" s="313">
        <f t="shared" si="7"/>
        <v>1.0296886503685949</v>
      </c>
      <c r="IN16" s="17">
        <v>0</v>
      </c>
      <c r="IO16" s="290">
        <f t="shared" si="29"/>
        <v>0</v>
      </c>
      <c r="IP16" s="17">
        <v>8901393</v>
      </c>
      <c r="IQ16" s="290">
        <v>9057976</v>
      </c>
      <c r="IR16" s="17">
        <v>3757373.3893999998</v>
      </c>
      <c r="IS16" s="290">
        <v>3781161</v>
      </c>
      <c r="IT16" s="17">
        <v>225000</v>
      </c>
      <c r="IU16" s="17">
        <v>225000</v>
      </c>
      <c r="IV16" s="17">
        <f t="shared" si="30"/>
        <v>3982373.3893999998</v>
      </c>
      <c r="IW16" s="17">
        <f t="shared" si="30"/>
        <v>4006161</v>
      </c>
      <c r="IX16" s="314"/>
      <c r="IY16" s="315"/>
      <c r="IZ16" s="314"/>
      <c r="JA16" s="316">
        <v>11</v>
      </c>
      <c r="JB16" s="317">
        <v>11</v>
      </c>
      <c r="JC16" s="318">
        <f t="shared" si="8"/>
        <v>1</v>
      </c>
      <c r="JD16" s="319">
        <f t="shared" si="8"/>
        <v>1.0296886503685949</v>
      </c>
      <c r="JE16" s="17">
        <v>1255752.9763298852</v>
      </c>
      <c r="JF16" s="290">
        <f t="shared" si="70"/>
        <v>1293034.5873934657</v>
      </c>
      <c r="JG16" s="17">
        <v>87580.62999999999</v>
      </c>
      <c r="JH16" s="290">
        <f t="shared" si="31"/>
        <v>90180.78070313127</v>
      </c>
      <c r="JI16" s="17">
        <v>639216.06367011496</v>
      </c>
      <c r="JJ16" s="290">
        <f t="shared" si="32"/>
        <v>639216.06367011496</v>
      </c>
      <c r="JK16" s="17">
        <v>1076517.2886915016</v>
      </c>
      <c r="JL16" s="290">
        <v>1076517.2886915016</v>
      </c>
      <c r="JM16" s="17">
        <v>55586.068000000007</v>
      </c>
      <c r="JN16" s="290">
        <f t="shared" si="33"/>
        <v>57236.343338216946</v>
      </c>
      <c r="JO16" s="17">
        <v>41360.133999999998</v>
      </c>
      <c r="JP16" s="290">
        <f t="shared" si="34"/>
        <v>42588.06055752423</v>
      </c>
      <c r="JQ16" s="17">
        <v>92360.92</v>
      </c>
      <c r="JR16" s="290">
        <f t="shared" si="35"/>
        <v>95102.991061601759</v>
      </c>
      <c r="JS16" s="17">
        <v>306414.38704999996</v>
      </c>
      <c r="JT16" s="290">
        <f t="shared" si="36"/>
        <v>315511.4166550347</v>
      </c>
      <c r="JU16" s="17">
        <f t="shared" si="37"/>
        <v>3554788.4677415015</v>
      </c>
      <c r="JV16" s="17">
        <f t="shared" si="37"/>
        <v>3609387.5320705916</v>
      </c>
      <c r="JW16" s="320">
        <f t="shared" si="9"/>
        <v>4.347830813013311</v>
      </c>
      <c r="KA16" s="283">
        <v>11</v>
      </c>
      <c r="KB16" s="306">
        <v>11</v>
      </c>
      <c r="KC16" s="97">
        <f t="shared" si="10"/>
        <v>10</v>
      </c>
      <c r="KD16" s="97">
        <f t="shared" si="11"/>
        <v>10</v>
      </c>
      <c r="KE16" s="289">
        <f t="shared" si="12"/>
        <v>83015823</v>
      </c>
      <c r="KF16" s="289">
        <f t="shared" si="13"/>
        <v>86073252.220139176</v>
      </c>
      <c r="KG16" s="321">
        <f t="shared" si="38"/>
        <v>1</v>
      </c>
      <c r="KH16" s="321">
        <f t="shared" si="39"/>
        <v>1.036829475510219</v>
      </c>
      <c r="KI16" s="321">
        <f t="shared" si="40"/>
        <v>0.97022324516600467</v>
      </c>
      <c r="KJ16" s="306" t="s">
        <v>256</v>
      </c>
      <c r="KK16" s="322"/>
      <c r="KL16" s="323"/>
      <c r="KM16" s="322"/>
      <c r="KN16" s="283">
        <v>11</v>
      </c>
      <c r="KO16" s="306">
        <v>11</v>
      </c>
      <c r="KP16" s="324" t="str">
        <f t="shared" si="14"/>
        <v>Q3</v>
      </c>
      <c r="KQ16" s="325">
        <f t="shared" si="15"/>
        <v>0.97022324516600467</v>
      </c>
      <c r="KR16" s="17">
        <f t="shared" si="41"/>
        <v>0</v>
      </c>
      <c r="KS16" s="17">
        <f t="shared" si="42"/>
        <v>0</v>
      </c>
      <c r="KT16" s="17">
        <f t="shared" si="16"/>
        <v>9057976</v>
      </c>
      <c r="KU16" s="17">
        <f t="shared" si="43"/>
        <v>9426150.7344677094</v>
      </c>
      <c r="KV16" s="17">
        <f t="shared" si="17"/>
        <v>3781161</v>
      </c>
      <c r="KW16" s="17">
        <f t="shared" si="18"/>
        <v>5174464.0751365554</v>
      </c>
      <c r="KX16" s="17">
        <f t="shared" si="44"/>
        <v>225000</v>
      </c>
      <c r="KY16" s="17">
        <f t="shared" si="45"/>
        <v>187014.063139734</v>
      </c>
      <c r="KZ16" s="17">
        <f t="shared" si="46"/>
        <v>4006161</v>
      </c>
      <c r="LA16" s="17">
        <f t="shared" si="46"/>
        <v>5361478.1382762892</v>
      </c>
      <c r="LB16" s="326"/>
      <c r="LC16" s="323"/>
      <c r="LD16" s="322"/>
      <c r="LE16" s="364">
        <f t="shared" si="71"/>
        <v>11</v>
      </c>
      <c r="LF16" s="365">
        <v>10</v>
      </c>
      <c r="LG16" s="411">
        <f t="shared" si="72"/>
        <v>1</v>
      </c>
      <c r="LH16" s="411">
        <f t="shared" si="72"/>
        <v>1.036829475510219</v>
      </c>
      <c r="LI16" s="412">
        <v>106.45762205358784</v>
      </c>
      <c r="LJ16" s="343">
        <f t="shared" si="73"/>
        <v>1168145.9588108526</v>
      </c>
      <c r="LK16" s="412">
        <v>106.45762205358784</v>
      </c>
      <c r="LL16" s="343">
        <f t="shared" si="47"/>
        <v>97842.654338303721</v>
      </c>
      <c r="LM16" s="412">
        <v>106.45762205358784</v>
      </c>
      <c r="LN16" s="343">
        <f t="shared" si="48"/>
        <v>605851.6544001993</v>
      </c>
      <c r="LO16" s="412">
        <v>118.614283549666</v>
      </c>
      <c r="LP16" s="343">
        <f t="shared" si="74"/>
        <v>827510.55484717013</v>
      </c>
      <c r="LQ16" s="412">
        <v>119.48337591187899</v>
      </c>
      <c r="LR16" s="343">
        <f t="shared" si="49"/>
        <v>149766.55435476426</v>
      </c>
      <c r="LS16" s="412">
        <v>157.07111615098</v>
      </c>
      <c r="LT16" s="343">
        <f t="shared" si="50"/>
        <v>51776.846247490401</v>
      </c>
      <c r="LU16" s="412">
        <v>112.15574935818501</v>
      </c>
      <c r="LV16" s="343">
        <f t="shared" si="51"/>
        <v>107083.59582785654</v>
      </c>
      <c r="LW16" s="412">
        <v>116.939890710382</v>
      </c>
      <c r="LX16" s="343">
        <f t="shared" si="52"/>
        <v>415610.30153264274</v>
      </c>
      <c r="LY16" s="20">
        <f t="shared" si="53"/>
        <v>3537940.9278093553</v>
      </c>
      <c r="LZ16" s="20">
        <f t="shared" si="75"/>
        <v>3423588.1203592797</v>
      </c>
      <c r="MA16" s="103"/>
      <c r="MB16" s="335"/>
      <c r="MD16" s="283">
        <v>11</v>
      </c>
      <c r="ME16" s="336">
        <v>11</v>
      </c>
      <c r="MF16" s="17">
        <f t="shared" si="19"/>
        <v>3982373.3893999998</v>
      </c>
      <c r="MG16" s="17">
        <f t="shared" si="19"/>
        <v>4006161</v>
      </c>
      <c r="MH16" s="290">
        <f t="shared" si="20"/>
        <v>5361478.1382762892</v>
      </c>
      <c r="MI16" s="17">
        <f t="shared" si="21"/>
        <v>3554788.4677415015</v>
      </c>
      <c r="MJ16" s="17">
        <f t="shared" si="21"/>
        <v>3609387.5320705916</v>
      </c>
      <c r="MK16" s="290">
        <f t="shared" si="54"/>
        <v>3501911.684427246</v>
      </c>
      <c r="ML16" s="17">
        <f t="shared" si="55"/>
        <v>427584.92165849824</v>
      </c>
      <c r="MM16" s="17">
        <f t="shared" si="55"/>
        <v>396773.46792940842</v>
      </c>
      <c r="MN16" s="17">
        <f t="shared" si="55"/>
        <v>1859566.4538490432</v>
      </c>
      <c r="MX16" s="338">
        <f t="shared" si="85"/>
        <v>10</v>
      </c>
      <c r="MY16" s="346" t="s">
        <v>49</v>
      </c>
      <c r="MZ16" s="20">
        <f t="shared" si="115"/>
        <v>15711197.861928774</v>
      </c>
      <c r="NA16" s="414">
        <f t="shared" si="116"/>
        <v>0.71730888852414143</v>
      </c>
      <c r="NC16" s="15">
        <f t="shared" si="117"/>
        <v>15711197.861928774</v>
      </c>
      <c r="ND16" s="414">
        <f t="shared" si="118"/>
        <v>0.71730888852414143</v>
      </c>
      <c r="NH16" s="338">
        <f t="shared" si="86"/>
        <v>10</v>
      </c>
      <c r="NI16" s="346" t="str">
        <f t="shared" si="58"/>
        <v>Overhead Labour</v>
      </c>
      <c r="NJ16" s="20">
        <v>23349083.540678918</v>
      </c>
      <c r="NK16" s="20">
        <f t="shared" si="119"/>
        <v>15711197.861928774</v>
      </c>
      <c r="NL16" s="20">
        <f t="shared" si="77"/>
        <v>-7637885.6787501443</v>
      </c>
      <c r="NM16" s="351">
        <f t="shared" si="78"/>
        <v>-0.32711715067717206</v>
      </c>
    </row>
    <row r="17" spans="2:377" x14ac:dyDescent="0.3">
      <c r="B17" s="226">
        <f t="shared" si="79"/>
        <v>12</v>
      </c>
      <c r="C17" s="339"/>
      <c r="D17" s="518" t="s">
        <v>50</v>
      </c>
      <c r="E17" s="340"/>
      <c r="F17" s="15">
        <f>DV12</f>
        <v>24697713.659500003</v>
      </c>
      <c r="G17" s="341">
        <f t="shared" si="108"/>
        <v>1.1883105657147701</v>
      </c>
      <c r="H17" s="15">
        <f>DZ12</f>
        <v>20963340.954979219</v>
      </c>
      <c r="I17" s="342">
        <f t="shared" si="109"/>
        <v>1.0062107693881408</v>
      </c>
      <c r="J17" s="343">
        <f t="shared" si="59"/>
        <v>-3734372.7045207843</v>
      </c>
      <c r="K17" s="15">
        <f>JL26</f>
        <v>21765718.436968524</v>
      </c>
      <c r="L17" s="342">
        <f t="shared" si="110"/>
        <v>1.0303321611263139</v>
      </c>
      <c r="M17" s="343">
        <f t="shared" si="60"/>
        <v>802377.48198930547</v>
      </c>
      <c r="N17" s="15">
        <f>LP27</f>
        <v>22755368.059679482</v>
      </c>
      <c r="O17" s="342">
        <f t="shared" si="111"/>
        <v>1.0389168231659327</v>
      </c>
      <c r="P17" s="343">
        <f t="shared" si="61"/>
        <v>989649.62271095812</v>
      </c>
      <c r="Q17" s="15">
        <f t="shared" si="62"/>
        <v>-1942345.5998205207</v>
      </c>
      <c r="R17" s="344">
        <f t="shared" si="63"/>
        <v>-0.12571944309775362</v>
      </c>
      <c r="V17" s="275"/>
      <c r="W17" s="276" t="s">
        <v>28</v>
      </c>
      <c r="X17" s="415"/>
      <c r="Y17" s="416"/>
      <c r="Z17" s="416"/>
      <c r="AA17" s="416"/>
      <c r="AB17" s="279"/>
      <c r="AC17" s="351"/>
      <c r="AF17" s="417">
        <f t="shared" si="80"/>
        <v>11</v>
      </c>
      <c r="AG17" s="418" t="s">
        <v>195</v>
      </c>
      <c r="AH17" s="477">
        <f>JF26/AH15</f>
        <v>20.537971247053672</v>
      </c>
      <c r="AI17" s="477">
        <f>JH26/AI15</f>
        <v>19.390724851022238</v>
      </c>
      <c r="AJ17" s="477">
        <f>JJ26/AJ15</f>
        <v>32.342338831236461</v>
      </c>
      <c r="AL17" s="464"/>
      <c r="AN17" s="338">
        <f t="shared" ref="AN17:AN20" si="121">AN16+1</f>
        <v>12</v>
      </c>
      <c r="AO17" s="96"/>
      <c r="AQ17" s="518" t="s">
        <v>234</v>
      </c>
      <c r="AR17" s="340"/>
      <c r="AS17" s="348">
        <v>1216501.406</v>
      </c>
      <c r="AT17" s="349">
        <v>0.11862746567938538</v>
      </c>
      <c r="AU17" s="350"/>
      <c r="AV17" s="348">
        <v>2361150.2250000001</v>
      </c>
      <c r="AW17" s="349">
        <v>0.2187914565748014</v>
      </c>
      <c r="AX17" s="351">
        <f t="shared" si="96"/>
        <v>0.84435750457764458</v>
      </c>
      <c r="AY17" s="350"/>
      <c r="AZ17" s="348">
        <v>2483160.2930935998</v>
      </c>
      <c r="BA17" s="349">
        <v>0.19247263373122833</v>
      </c>
      <c r="BB17" s="351">
        <f t="shared" si="97"/>
        <v>-0.12029182151623485</v>
      </c>
      <c r="BC17" s="350"/>
      <c r="BD17" s="348">
        <v>3556357.1057280144</v>
      </c>
      <c r="BE17" s="349">
        <v>0.24182856533648778</v>
      </c>
      <c r="BF17" s="351">
        <f t="shared" si="98"/>
        <v>0.25643090473932428</v>
      </c>
      <c r="BG17" s="350"/>
      <c r="BH17" s="348">
        <v>3747904.7313999999</v>
      </c>
      <c r="BI17" s="349">
        <v>0.24663086321723002</v>
      </c>
      <c r="BJ17" s="351">
        <f t="shared" si="99"/>
        <v>1.9858273872898957E-2</v>
      </c>
      <c r="BK17" s="350"/>
      <c r="BL17" s="348">
        <v>4022436.6702577379</v>
      </c>
      <c r="BM17" s="349">
        <v>0.23912744990636886</v>
      </c>
      <c r="BN17" s="351">
        <f t="shared" si="100"/>
        <v>-3.0423659119468094E-2</v>
      </c>
      <c r="BO17" s="350"/>
      <c r="BP17" s="105">
        <v>5745533.5202000001</v>
      </c>
      <c r="BQ17" s="349">
        <v>0.30976719562421123</v>
      </c>
      <c r="BR17" s="351">
        <f t="shared" si="101"/>
        <v>0.29540626032478334</v>
      </c>
      <c r="BS17" s="350"/>
      <c r="BT17" s="518">
        <v>6723403</v>
      </c>
      <c r="BU17" s="518">
        <v>0.34</v>
      </c>
      <c r="BV17" s="518">
        <f t="shared" si="102"/>
        <v>9.759847008611322E-2</v>
      </c>
      <c r="BW17" s="15">
        <v>7155288.9644999998</v>
      </c>
      <c r="BX17" s="16">
        <v>0.36964608490901918</v>
      </c>
      <c r="BY17" s="16">
        <f t="shared" si="65"/>
        <v>8.7194367379468174E-2</v>
      </c>
      <c r="BZ17" s="16">
        <v>8029824.328999999</v>
      </c>
      <c r="CA17" s="16">
        <v>0.39363869120338835</v>
      </c>
      <c r="CB17" s="16">
        <f t="shared" si="66"/>
        <v>6.4906967160965445E-2</v>
      </c>
      <c r="CC17" s="15">
        <f>F18+F19</f>
        <v>8459101.3854999989</v>
      </c>
      <c r="CD17" s="16">
        <f>G18+G19</f>
        <v>0.4070028380532128</v>
      </c>
      <c r="CE17" s="352">
        <f t="shared" si="104"/>
        <v>3.3950287785402988E-2</v>
      </c>
      <c r="CF17" s="353">
        <f t="shared" si="68"/>
        <v>5.9536305866793215</v>
      </c>
      <c r="CG17" s="352">
        <f t="shared" si="105"/>
        <v>0.1137546600202497</v>
      </c>
      <c r="CX17" s="438"/>
      <c r="CY17" s="455"/>
      <c r="CZ17" s="105"/>
      <c r="DA17" s="518"/>
      <c r="DB17" s="105"/>
      <c r="DK17" s="518"/>
      <c r="DQ17" s="537"/>
      <c r="DR17" s="537"/>
      <c r="DS17" s="537"/>
      <c r="DT17" s="537"/>
      <c r="DU17" s="537"/>
      <c r="DV17" s="537"/>
      <c r="DW17" s="537"/>
      <c r="DX17" s="537"/>
      <c r="DY17" s="537"/>
      <c r="DZ17" s="537"/>
      <c r="EI17" s="347"/>
      <c r="EO17" s="408"/>
      <c r="FE17" s="408"/>
      <c r="FG17" s="338">
        <f t="shared" si="84"/>
        <v>12</v>
      </c>
      <c r="FH17" s="360"/>
      <c r="FI17" s="361" t="s">
        <v>235</v>
      </c>
      <c r="FJ17" s="20">
        <v>28956.02</v>
      </c>
      <c r="FK17" s="20">
        <v>96946.930000000008</v>
      </c>
      <c r="FL17" s="20">
        <v>141566.59</v>
      </c>
      <c r="FM17" s="343">
        <f t="shared" si="28"/>
        <v>267469.53999999998</v>
      </c>
      <c r="FN17" s="20">
        <v>29235.52</v>
      </c>
      <c r="FO17" s="20">
        <v>97827.53</v>
      </c>
      <c r="FP17" s="20">
        <v>141566.59000000003</v>
      </c>
      <c r="FQ17" s="20">
        <v>268629.64</v>
      </c>
      <c r="FR17" s="20">
        <v>268629.64</v>
      </c>
      <c r="FS17" s="103"/>
      <c r="FT17" s="408"/>
      <c r="FV17" s="481"/>
      <c r="FW17" s="279"/>
      <c r="FX17" s="279"/>
      <c r="FY17" s="279"/>
      <c r="FZ17" s="279"/>
      <c r="GA17" s="279"/>
      <c r="GB17" s="279"/>
      <c r="GC17" s="279"/>
      <c r="GD17" s="279"/>
      <c r="GE17" s="279"/>
      <c r="HW17" s="338">
        <v>12</v>
      </c>
      <c r="HX17" s="322">
        <v>12</v>
      </c>
      <c r="HY17" s="322">
        <v>11</v>
      </c>
      <c r="HZ17" s="322">
        <v>10</v>
      </c>
      <c r="IA17" s="347">
        <v>98088319.200000003</v>
      </c>
      <c r="IB17" s="347">
        <v>88166104</v>
      </c>
      <c r="IC17" s="342">
        <f t="shared" si="5"/>
        <v>0.90909090909090906</v>
      </c>
      <c r="ID17" s="342">
        <f t="shared" si="6"/>
        <v>0.89884406949854223</v>
      </c>
      <c r="IE17" s="344">
        <v>0</v>
      </c>
      <c r="IF17" s="344">
        <v>1</v>
      </c>
      <c r="IG17" s="344">
        <v>0</v>
      </c>
      <c r="IK17" s="364">
        <v>12</v>
      </c>
      <c r="IL17" s="365">
        <v>12</v>
      </c>
      <c r="IM17" s="341">
        <f t="shared" si="7"/>
        <v>0.89884406949854223</v>
      </c>
      <c r="IN17" s="20">
        <v>274.95</v>
      </c>
      <c r="IO17" s="343">
        <f t="shared" si="29"/>
        <v>247.13717690862418</v>
      </c>
      <c r="IP17" s="20">
        <v>10676251.800000001</v>
      </c>
      <c r="IQ17" s="343">
        <v>9591387</v>
      </c>
      <c r="IR17" s="20">
        <v>4428895.8442199994</v>
      </c>
      <c r="IS17" s="343">
        <v>3936204</v>
      </c>
      <c r="IT17" s="20">
        <v>247500</v>
      </c>
      <c r="IU17" s="20">
        <v>225000</v>
      </c>
      <c r="IV17" s="20">
        <f t="shared" si="30"/>
        <v>4676670.7942199996</v>
      </c>
      <c r="IW17" s="20">
        <f t="shared" si="30"/>
        <v>4161451.1371769086</v>
      </c>
      <c r="IX17" s="314"/>
      <c r="IY17" s="315"/>
      <c r="IZ17" s="314"/>
      <c r="JA17" s="366">
        <v>12</v>
      </c>
      <c r="JB17" s="365">
        <v>12</v>
      </c>
      <c r="JC17" s="367">
        <f t="shared" si="8"/>
        <v>0.90909090909090906</v>
      </c>
      <c r="JD17" s="368">
        <f t="shared" si="8"/>
        <v>0.89884406949854223</v>
      </c>
      <c r="JE17" s="20">
        <v>1477321.4620474414</v>
      </c>
      <c r="JF17" s="343">
        <f t="shared" si="70"/>
        <v>1327881.6349042584</v>
      </c>
      <c r="JG17" s="20">
        <v>173561.70699999997</v>
      </c>
      <c r="JH17" s="343">
        <f t="shared" si="31"/>
        <v>156004.91102899361</v>
      </c>
      <c r="JI17" s="20">
        <v>902813.73595255893</v>
      </c>
      <c r="JJ17" s="343">
        <f t="shared" si="32"/>
        <v>820739.75995687174</v>
      </c>
      <c r="JK17" s="20">
        <v>919805.23799024592</v>
      </c>
      <c r="JL17" s="343">
        <v>796353.12678071694</v>
      </c>
      <c r="JM17" s="20">
        <v>125924.8045</v>
      </c>
      <c r="JN17" s="343">
        <f t="shared" si="33"/>
        <v>113186.76372758835</v>
      </c>
      <c r="JO17" s="20">
        <v>84256.07699999999</v>
      </c>
      <c r="JP17" s="343">
        <f t="shared" si="34"/>
        <v>75733.075130662517</v>
      </c>
      <c r="JQ17" s="20">
        <v>165395.27000000002</v>
      </c>
      <c r="JR17" s="343">
        <f t="shared" si="35"/>
        <v>148664.55756261016</v>
      </c>
      <c r="JS17" s="20">
        <v>525941.78747999994</v>
      </c>
      <c r="JT17" s="343">
        <f t="shared" si="36"/>
        <v>472739.65657786059</v>
      </c>
      <c r="JU17" s="20">
        <f t="shared" si="37"/>
        <v>4375020.0819702465</v>
      </c>
      <c r="JV17" s="20">
        <f t="shared" si="37"/>
        <v>3911303.4856695626</v>
      </c>
      <c r="JW17" s="369">
        <f t="shared" si="9"/>
        <v>4.4362893540918655</v>
      </c>
      <c r="KA17" s="338">
        <v>12</v>
      </c>
      <c r="KB17" s="322">
        <v>12</v>
      </c>
      <c r="KC17" s="518">
        <f t="shared" si="10"/>
        <v>10</v>
      </c>
      <c r="KD17" s="518">
        <f t="shared" si="11"/>
        <v>10</v>
      </c>
      <c r="KE17" s="370">
        <f t="shared" si="12"/>
        <v>88166104</v>
      </c>
      <c r="KF17" s="370">
        <f t="shared" si="13"/>
        <v>91413215.368099421</v>
      </c>
      <c r="KG17" s="371">
        <f t="shared" si="38"/>
        <v>1</v>
      </c>
      <c r="KH17" s="371">
        <f t="shared" si="39"/>
        <v>1.036829475510219</v>
      </c>
      <c r="KI17" s="371">
        <f t="shared" si="40"/>
        <v>1.0471348851700708</v>
      </c>
      <c r="KJ17" s="322" t="s">
        <v>440</v>
      </c>
      <c r="KK17" s="322"/>
      <c r="KL17" s="323"/>
      <c r="KM17" s="322"/>
      <c r="KN17" s="338">
        <v>12</v>
      </c>
      <c r="KO17" s="322">
        <v>12</v>
      </c>
      <c r="KP17" s="437" t="str">
        <f t="shared" si="14"/>
        <v>Q4</v>
      </c>
      <c r="KQ17" s="373">
        <f t="shared" si="15"/>
        <v>1.0471348851700708</v>
      </c>
      <c r="KR17" s="358">
        <f t="shared" si="41"/>
        <v>247.13717690862418</v>
      </c>
      <c r="KS17" s="358">
        <f t="shared" si="42"/>
        <v>258.78595936346767</v>
      </c>
      <c r="KT17" s="358">
        <f t="shared" si="16"/>
        <v>9591387</v>
      </c>
      <c r="KU17" s="358">
        <f t="shared" si="43"/>
        <v>10010946.780287372</v>
      </c>
      <c r="KV17" s="358">
        <f t="shared" si="17"/>
        <v>3936204</v>
      </c>
      <c r="KW17" s="358">
        <f t="shared" si="18"/>
        <v>5495486.5386656867</v>
      </c>
      <c r="KX17" s="358">
        <f t="shared" si="44"/>
        <v>225000</v>
      </c>
      <c r="KY17" s="358">
        <f t="shared" si="45"/>
        <v>198616.36907749929</v>
      </c>
      <c r="KZ17" s="358">
        <f t="shared" si="46"/>
        <v>4161451.1371769086</v>
      </c>
      <c r="LA17" s="358">
        <f t="shared" si="46"/>
        <v>5694361.6937025497</v>
      </c>
      <c r="LB17" s="326"/>
      <c r="LC17" s="323"/>
      <c r="LD17" s="322"/>
      <c r="LE17" s="374">
        <f t="shared" si="71"/>
        <v>12</v>
      </c>
      <c r="LF17" s="375">
        <v>11</v>
      </c>
      <c r="LG17" s="376">
        <f t="shared" si="72"/>
        <v>1</v>
      </c>
      <c r="LH17" s="376">
        <f t="shared" si="72"/>
        <v>1.036829475510219</v>
      </c>
      <c r="LI17" s="377">
        <v>106.45762205358784</v>
      </c>
      <c r="LJ17" s="290">
        <f t="shared" si="73"/>
        <v>1182474.884838674</v>
      </c>
      <c r="LK17" s="377">
        <v>106.45762205358784</v>
      </c>
      <c r="LL17" s="290">
        <f t="shared" si="47"/>
        <v>82469.958125062723</v>
      </c>
      <c r="LM17" s="377">
        <v>106.45762205358784</v>
      </c>
      <c r="LN17" s="290">
        <f t="shared" si="48"/>
        <v>563796.17958927469</v>
      </c>
      <c r="LO17" s="377">
        <v>118.614283549666</v>
      </c>
      <c r="LP17" s="290">
        <f t="shared" si="74"/>
        <v>1126062.0941259102</v>
      </c>
      <c r="LQ17" s="377">
        <v>119.48337591187899</v>
      </c>
      <c r="LR17" s="290">
        <f t="shared" si="49"/>
        <v>62043.823712473852</v>
      </c>
      <c r="LS17" s="377">
        <v>157.07111615098</v>
      </c>
      <c r="LT17" s="290">
        <f t="shared" si="50"/>
        <v>40148.657020354905</v>
      </c>
      <c r="LU17" s="377">
        <v>112.15574935818501</v>
      </c>
      <c r="LV17" s="290">
        <f t="shared" si="51"/>
        <v>103662.50056721707</v>
      </c>
      <c r="LW17" s="377">
        <v>116.939890710382</v>
      </c>
      <c r="LX17" s="378">
        <f t="shared" si="52"/>
        <v>341253.58644827886</v>
      </c>
      <c r="LY17" s="379">
        <f t="shared" si="53"/>
        <v>3609387.5320705916</v>
      </c>
      <c r="LZ17" s="379">
        <f t="shared" si="75"/>
        <v>3501911.684427246</v>
      </c>
      <c r="MA17" s="103"/>
      <c r="MB17" s="335"/>
      <c r="MD17" s="338">
        <v>12</v>
      </c>
      <c r="ME17" s="380">
        <v>12</v>
      </c>
      <c r="MF17" s="20">
        <f t="shared" si="19"/>
        <v>4676670.7942199996</v>
      </c>
      <c r="MG17" s="20">
        <f t="shared" si="19"/>
        <v>4161451.1371769086</v>
      </c>
      <c r="MH17" s="343">
        <f t="shared" si="20"/>
        <v>5694361.6937025497</v>
      </c>
      <c r="MI17" s="20">
        <f t="shared" si="21"/>
        <v>4375020.0819702465</v>
      </c>
      <c r="MJ17" s="20">
        <f t="shared" si="21"/>
        <v>3911303.4856695626</v>
      </c>
      <c r="MK17" s="343">
        <f t="shared" si="54"/>
        <v>4095662.3263318948</v>
      </c>
      <c r="ML17" s="20">
        <f t="shared" si="55"/>
        <v>301650.71224975307</v>
      </c>
      <c r="MM17" s="20">
        <f t="shared" si="55"/>
        <v>250147.65150734596</v>
      </c>
      <c r="MN17" s="20">
        <f t="shared" si="55"/>
        <v>1598699.3673706548</v>
      </c>
      <c r="MX17" s="283">
        <f t="shared" si="85"/>
        <v>11</v>
      </c>
      <c r="MY17" s="388" t="s">
        <v>50</v>
      </c>
      <c r="MZ17" s="17">
        <f t="shared" si="115"/>
        <v>22755368.059679482</v>
      </c>
      <c r="NA17" s="381">
        <f t="shared" si="116"/>
        <v>1.0389168231659327</v>
      </c>
      <c r="NB17" s="97"/>
      <c r="NC17" s="18">
        <f t="shared" si="117"/>
        <v>22755368.059679482</v>
      </c>
      <c r="ND17" s="381">
        <f t="shared" si="118"/>
        <v>1.0389168231659327</v>
      </c>
      <c r="NH17" s="283">
        <f t="shared" si="86"/>
        <v>11</v>
      </c>
      <c r="NI17" s="388" t="str">
        <f t="shared" si="58"/>
        <v>Building</v>
      </c>
      <c r="NJ17" s="17">
        <v>22476369.306504369</v>
      </c>
      <c r="NK17" s="17">
        <f t="shared" si="119"/>
        <v>22755368.059679482</v>
      </c>
      <c r="NL17" s="17">
        <f t="shared" si="77"/>
        <v>278998.75317511335</v>
      </c>
      <c r="NM17" s="395">
        <f t="shared" si="78"/>
        <v>1.2412981357019024E-2</v>
      </c>
    </row>
    <row r="18" spans="2:377" x14ac:dyDescent="0.3">
      <c r="B18" s="265">
        <f t="shared" si="79"/>
        <v>13</v>
      </c>
      <c r="C18" s="384"/>
      <c r="D18" s="97" t="s">
        <v>53</v>
      </c>
      <c r="E18" s="286"/>
      <c r="F18" s="18">
        <f>EI9</f>
        <v>4942367.6066999994</v>
      </c>
      <c r="G18" s="313">
        <f t="shared" si="108"/>
        <v>0.23779802971474448</v>
      </c>
      <c r="H18" s="18">
        <f>EM9</f>
        <v>4946747.1885321252</v>
      </c>
      <c r="I18" s="309">
        <f t="shared" si="109"/>
        <v>0.23743688113603295</v>
      </c>
      <c r="J18" s="290">
        <f t="shared" si="59"/>
        <v>4379.581832125783</v>
      </c>
      <c r="K18" s="18">
        <f>JR26</f>
        <v>4997847.5990450596</v>
      </c>
      <c r="L18" s="309">
        <f t="shared" si="110"/>
        <v>0.236585028544606</v>
      </c>
      <c r="M18" s="290">
        <f t="shared" si="60"/>
        <v>51100.410512934439</v>
      </c>
      <c r="N18" s="18">
        <f>LV27</f>
        <v>5491960.0167713584</v>
      </c>
      <c r="O18" s="309">
        <f t="shared" si="111"/>
        <v>0.25074038084615319</v>
      </c>
      <c r="P18" s="290">
        <f t="shared" si="61"/>
        <v>494112.41772629879</v>
      </c>
      <c r="Q18" s="18">
        <f t="shared" si="62"/>
        <v>549592.41007135902</v>
      </c>
      <c r="R18" s="310">
        <f t="shared" si="63"/>
        <v>5.4425813144600044E-2</v>
      </c>
      <c r="V18" s="249">
        <f>V16+1</f>
        <v>9</v>
      </c>
      <c r="W18" s="345" t="s">
        <v>176</v>
      </c>
      <c r="X18" s="20">
        <f>SUMPRODUCT($MN$6:$MN$25,IE6:IE25)</f>
        <v>2376165.0187300546</v>
      </c>
      <c r="Y18" s="20">
        <f>SUMPRODUCT($MN$6:$MN$25,IF6:IF25)</f>
        <v>12952429.103066333</v>
      </c>
      <c r="Z18" s="20">
        <f>SUMPRODUCT($MN$6:$MN$25,IG6:IG25)</f>
        <v>27257582.461989306</v>
      </c>
      <c r="AA18" s="20">
        <f>SUM(X18:Z18)</f>
        <v>42586176.583785698</v>
      </c>
      <c r="AB18" s="20"/>
      <c r="AF18" s="385">
        <f t="shared" si="80"/>
        <v>12</v>
      </c>
      <c r="AG18" s="282" t="s">
        <v>28</v>
      </c>
      <c r="AH18" s="97"/>
      <c r="AI18" s="97"/>
      <c r="AJ18" s="97"/>
      <c r="AL18" s="464"/>
      <c r="AN18" s="483">
        <f t="shared" si="121"/>
        <v>13</v>
      </c>
      <c r="AO18" s="484"/>
      <c r="AP18" s="485"/>
      <c r="AQ18" s="485" t="s">
        <v>54</v>
      </c>
      <c r="AR18" s="486"/>
      <c r="AS18" s="487">
        <v>5928822.8260000004</v>
      </c>
      <c r="AT18" s="488">
        <v>0.57815077141840288</v>
      </c>
      <c r="AU18" s="489"/>
      <c r="AV18" s="487">
        <v>3792013.7597000003</v>
      </c>
      <c r="AW18" s="488">
        <v>0.35137968141626907</v>
      </c>
      <c r="AX18" s="490">
        <f t="shared" si="96"/>
        <v>-0.39223521132002692</v>
      </c>
      <c r="AY18" s="489"/>
      <c r="AZ18" s="487">
        <v>5238845.7033359464</v>
      </c>
      <c r="BA18" s="488">
        <v>0.40606900530629209</v>
      </c>
      <c r="BB18" s="490">
        <f t="shared" si="97"/>
        <v>0.15564167987628807</v>
      </c>
      <c r="BC18" s="489"/>
      <c r="BD18" s="487">
        <v>5407089.8699504221</v>
      </c>
      <c r="BE18" s="488">
        <v>0.36767645852816944</v>
      </c>
      <c r="BF18" s="490">
        <f t="shared" si="98"/>
        <v>-9.4546853555502741E-2</v>
      </c>
      <c r="BG18" s="489"/>
      <c r="BH18" s="487">
        <v>7543565.8774000006</v>
      </c>
      <c r="BI18" s="488">
        <v>0.49640433719995791</v>
      </c>
      <c r="BJ18" s="490">
        <f t="shared" si="99"/>
        <v>0.3501118325255137</v>
      </c>
      <c r="BK18" s="489"/>
      <c r="BL18" s="487">
        <v>8178976.4044999983</v>
      </c>
      <c r="BM18" s="488">
        <v>0.48622711326046231</v>
      </c>
      <c r="BN18" s="490">
        <f t="shared" si="100"/>
        <v>-2.050188359936933E-2</v>
      </c>
      <c r="BO18" s="489"/>
      <c r="BP18" s="487">
        <v>9693134.9169999994</v>
      </c>
      <c r="BQ18" s="488">
        <v>0.52259989598697731</v>
      </c>
      <c r="BR18" s="490">
        <f t="shared" si="101"/>
        <v>7.4806158962654967E-2</v>
      </c>
      <c r="BS18" s="489"/>
      <c r="BT18" s="485">
        <v>9228973</v>
      </c>
      <c r="BU18" s="485">
        <v>0.47</v>
      </c>
      <c r="BV18" s="485">
        <f t="shared" si="102"/>
        <v>-0.10065041419045384</v>
      </c>
      <c r="BW18" s="26">
        <v>10423908.153099999</v>
      </c>
      <c r="BX18" s="27">
        <v>0.53850471411588496</v>
      </c>
      <c r="BY18" s="27">
        <f t="shared" si="65"/>
        <v>0.14575471088486158</v>
      </c>
      <c r="BZ18" s="27">
        <v>10530651.726950001</v>
      </c>
      <c r="CA18" s="27">
        <v>0.51623445214666785</v>
      </c>
      <c r="CB18" s="27">
        <f t="shared" si="66"/>
        <v>-4.1355741900570675E-2</v>
      </c>
      <c r="CC18" s="26">
        <f t="shared" ref="CC18:CD20" si="122">F20</f>
        <v>10262021.9365</v>
      </c>
      <c r="CD18" s="27">
        <f t="shared" si="122"/>
        <v>0.49374890570281921</v>
      </c>
      <c r="CE18" s="395">
        <f t="shared" si="104"/>
        <v>-4.3556849703359712E-2</v>
      </c>
      <c r="CF18" s="491">
        <f t="shared" si="68"/>
        <v>0.73087006268721288</v>
      </c>
      <c r="CG18" s="395">
        <f t="shared" si="105"/>
        <v>3.0948366399667249E-2</v>
      </c>
      <c r="CX18" s="438"/>
      <c r="CY18" s="455"/>
      <c r="CZ18" s="105"/>
      <c r="DA18" s="518"/>
      <c r="DB18" s="105"/>
      <c r="DK18" s="518"/>
      <c r="DQ18" s="537"/>
      <c r="DR18" s="537"/>
      <c r="DS18" s="537"/>
      <c r="DT18" s="537"/>
      <c r="DU18" s="537"/>
      <c r="DV18" s="537"/>
      <c r="DW18" s="537"/>
      <c r="DX18" s="537"/>
      <c r="DY18" s="537"/>
      <c r="DZ18" s="537"/>
      <c r="EI18" s="347"/>
      <c r="EO18" s="408"/>
      <c r="FE18" s="408"/>
      <c r="FG18" s="283">
        <f t="shared" si="84"/>
        <v>13</v>
      </c>
      <c r="FH18" s="406"/>
      <c r="FI18" s="407" t="s">
        <v>236</v>
      </c>
      <c r="FJ18" s="17">
        <v>43908.417999999998</v>
      </c>
      <c r="FK18" s="17">
        <v>51418.920000000006</v>
      </c>
      <c r="FL18" s="17">
        <v>50658.33</v>
      </c>
      <c r="FM18" s="290">
        <f t="shared" si="28"/>
        <v>145985.66800000001</v>
      </c>
      <c r="FN18" s="17">
        <v>44220.630121212111</v>
      </c>
      <c r="FO18" s="17">
        <v>51511.12</v>
      </c>
      <c r="FP18" s="17">
        <v>50658.330000000009</v>
      </c>
      <c r="FQ18" s="17">
        <v>146390.08012121212</v>
      </c>
      <c r="FR18" s="17">
        <v>146390.08012121212</v>
      </c>
      <c r="FS18" s="103"/>
      <c r="FT18" s="408"/>
      <c r="GB18" s="344"/>
      <c r="GC18" s="344"/>
      <c r="GD18" s="344"/>
      <c r="GE18" s="344"/>
      <c r="GK18" s="355"/>
      <c r="GL18" s="355"/>
      <c r="GM18" s="355"/>
      <c r="GN18" s="355"/>
      <c r="GO18" s="355"/>
      <c r="GP18" s="355"/>
      <c r="GQ18" s="355"/>
      <c r="GR18" s="355"/>
      <c r="HW18" s="283">
        <v>13</v>
      </c>
      <c r="HX18" s="306">
        <v>13</v>
      </c>
      <c r="HY18" s="306">
        <v>10</v>
      </c>
      <c r="HZ18" s="306">
        <v>11</v>
      </c>
      <c r="IA18" s="307">
        <v>102121804</v>
      </c>
      <c r="IB18" s="307">
        <v>110978821</v>
      </c>
      <c r="IC18" s="309">
        <f t="shared" si="5"/>
        <v>1.1000000000000001</v>
      </c>
      <c r="ID18" s="309">
        <f t="shared" si="6"/>
        <v>1.0867299308578606</v>
      </c>
      <c r="IE18" s="310">
        <v>0</v>
      </c>
      <c r="IF18" s="310">
        <v>1</v>
      </c>
      <c r="IG18" s="310">
        <v>0</v>
      </c>
      <c r="IK18" s="410">
        <v>13</v>
      </c>
      <c r="IL18" s="317">
        <v>13</v>
      </c>
      <c r="IM18" s="313">
        <f t="shared" si="7"/>
        <v>1.0867299308578606</v>
      </c>
      <c r="IN18" s="17">
        <v>38</v>
      </c>
      <c r="IO18" s="290">
        <f t="shared" si="29"/>
        <v>41.295737372598701</v>
      </c>
      <c r="IP18" s="17">
        <v>11270819</v>
      </c>
      <c r="IQ18" s="290">
        <v>12226499</v>
      </c>
      <c r="IR18" s="17">
        <v>4764103.0435000006</v>
      </c>
      <c r="IS18" s="290">
        <v>5108269</v>
      </c>
      <c r="IT18" s="17">
        <v>225000</v>
      </c>
      <c r="IU18" s="17">
        <v>247500</v>
      </c>
      <c r="IV18" s="17">
        <f t="shared" si="30"/>
        <v>4989141.0435000006</v>
      </c>
      <c r="IW18" s="17">
        <f t="shared" si="30"/>
        <v>5355810.2957373727</v>
      </c>
      <c r="IX18" s="314"/>
      <c r="IY18" s="315"/>
      <c r="IZ18" s="314"/>
      <c r="JA18" s="316">
        <v>13</v>
      </c>
      <c r="JB18" s="317">
        <v>13</v>
      </c>
      <c r="JC18" s="318">
        <f t="shared" si="8"/>
        <v>1.1000000000000001</v>
      </c>
      <c r="JD18" s="319">
        <f t="shared" si="8"/>
        <v>1.0867299308578606</v>
      </c>
      <c r="JE18" s="17">
        <v>2071386.4181252802</v>
      </c>
      <c r="JF18" s="290">
        <f t="shared" si="70"/>
        <v>2251037.6189491972</v>
      </c>
      <c r="JG18" s="17">
        <v>70310.223499999993</v>
      </c>
      <c r="JH18" s="290">
        <f t="shared" si="31"/>
        <v>76408.224322755719</v>
      </c>
      <c r="JI18" s="17">
        <v>1129294.8683747198</v>
      </c>
      <c r="JJ18" s="290">
        <f t="shared" si="32"/>
        <v>1242224.3552121918</v>
      </c>
      <c r="JK18" s="17">
        <v>1201729.8593524098</v>
      </c>
      <c r="JL18" s="290">
        <v>1325181.9705619391</v>
      </c>
      <c r="JM18" s="17">
        <v>49177.789399999994</v>
      </c>
      <c r="JN18" s="290">
        <f t="shared" si="33"/>
        <v>53442.975674404428</v>
      </c>
      <c r="JO18" s="17">
        <v>78958.960399999982</v>
      </c>
      <c r="JP18" s="290">
        <f t="shared" si="34"/>
        <v>85807.065576100533</v>
      </c>
      <c r="JQ18" s="17">
        <v>137795.64800000002</v>
      </c>
      <c r="JR18" s="290">
        <f t="shared" si="35"/>
        <v>149746.65502355411</v>
      </c>
      <c r="JS18" s="17">
        <v>297705.73260000005</v>
      </c>
      <c r="JT18" s="290">
        <f t="shared" si="36"/>
        <v>323525.73020438681</v>
      </c>
      <c r="JU18" s="17">
        <f t="shared" si="37"/>
        <v>5036359.4997524098</v>
      </c>
      <c r="JV18" s="17">
        <f t="shared" si="37"/>
        <v>5507374.5955245309</v>
      </c>
      <c r="JW18" s="320">
        <f t="shared" si="9"/>
        <v>4.9625455973482824</v>
      </c>
      <c r="KA18" s="283">
        <v>13</v>
      </c>
      <c r="KB18" s="306">
        <v>13</v>
      </c>
      <c r="KC18" s="97">
        <f t="shared" si="10"/>
        <v>11</v>
      </c>
      <c r="KD18" s="390">
        <f t="shared" si="11"/>
        <v>11</v>
      </c>
      <c r="KE18" s="289">
        <f t="shared" si="12"/>
        <v>110978821</v>
      </c>
      <c r="KF18" s="289">
        <f t="shared" si="13"/>
        <v>115066112.77017248</v>
      </c>
      <c r="KG18" s="321">
        <f t="shared" si="38"/>
        <v>1</v>
      </c>
      <c r="KH18" s="321">
        <f t="shared" si="39"/>
        <v>1.036829475510219</v>
      </c>
      <c r="KI18" s="321">
        <f t="shared" si="40"/>
        <v>0.95548930959196443</v>
      </c>
      <c r="KJ18" s="306" t="s">
        <v>256</v>
      </c>
      <c r="KK18" s="322"/>
      <c r="KL18" s="323"/>
      <c r="KM18" s="322"/>
      <c r="KN18" s="283">
        <v>13</v>
      </c>
      <c r="KO18" s="306">
        <v>13</v>
      </c>
      <c r="KP18" s="324" t="str">
        <f t="shared" si="14"/>
        <v>Q3</v>
      </c>
      <c r="KQ18" s="325">
        <f t="shared" si="15"/>
        <v>0.95548930959196443</v>
      </c>
      <c r="KR18" s="17">
        <f t="shared" si="41"/>
        <v>41.295737372598701</v>
      </c>
      <c r="KS18" s="17">
        <f t="shared" si="42"/>
        <v>39.457635591235416</v>
      </c>
      <c r="KT18" s="17">
        <f t="shared" si="16"/>
        <v>12226499</v>
      </c>
      <c r="KU18" s="17">
        <f t="shared" si="43"/>
        <v>12601249.463966772</v>
      </c>
      <c r="KV18" s="17">
        <f t="shared" si="17"/>
        <v>5108269</v>
      </c>
      <c r="KW18" s="17">
        <f t="shared" si="18"/>
        <v>6917427.3242525142</v>
      </c>
      <c r="KX18" s="17">
        <f t="shared" si="44"/>
        <v>247500</v>
      </c>
      <c r="KY18" s="17">
        <f t="shared" si="45"/>
        <v>250007.76343164407</v>
      </c>
      <c r="KZ18" s="17">
        <f t="shared" si="46"/>
        <v>5355810.2957373727</v>
      </c>
      <c r="LA18" s="17">
        <f t="shared" si="46"/>
        <v>7167474.545319749</v>
      </c>
      <c r="LB18" s="326"/>
      <c r="LC18" s="323"/>
      <c r="LD18" s="322"/>
      <c r="LE18" s="364">
        <f t="shared" si="71"/>
        <v>13</v>
      </c>
      <c r="LF18" s="365">
        <v>12</v>
      </c>
      <c r="LG18" s="411">
        <f t="shared" si="72"/>
        <v>1</v>
      </c>
      <c r="LH18" s="411">
        <f t="shared" si="72"/>
        <v>1.036829475510219</v>
      </c>
      <c r="LI18" s="412">
        <v>92.086954396969617</v>
      </c>
      <c r="LJ18" s="343">
        <f t="shared" si="73"/>
        <v>1403847.0676782916</v>
      </c>
      <c r="LK18" s="412">
        <v>92.086954396969617</v>
      </c>
      <c r="LL18" s="343">
        <f t="shared" si="47"/>
        <v>164929.63765347659</v>
      </c>
      <c r="LM18" s="412">
        <v>92.086954396969617</v>
      </c>
      <c r="LN18" s="343">
        <f t="shared" si="48"/>
        <v>836871.1040764068</v>
      </c>
      <c r="LO18" s="412">
        <v>119.50379714140099</v>
      </c>
      <c r="LP18" s="343">
        <f t="shared" si="74"/>
        <v>826803.49761689059</v>
      </c>
      <c r="LQ18" s="412">
        <v>120.433043671646</v>
      </c>
      <c r="LR18" s="343">
        <f t="shared" si="49"/>
        <v>121726.2211620473</v>
      </c>
      <c r="LS18" s="412">
        <v>146.40099357416699</v>
      </c>
      <c r="LT18" s="343">
        <f t="shared" si="50"/>
        <v>76598.6396831538</v>
      </c>
      <c r="LU18" s="412">
        <v>116.183248398364</v>
      </c>
      <c r="LV18" s="343">
        <f t="shared" si="51"/>
        <v>156427.45297229223</v>
      </c>
      <c r="LW18" s="412">
        <v>117.5956284153</v>
      </c>
      <c r="LX18" s="343">
        <f t="shared" si="52"/>
        <v>508458.70548933552</v>
      </c>
      <c r="LY18" s="20">
        <f t="shared" si="53"/>
        <v>3911303.4856695626</v>
      </c>
      <c r="LZ18" s="20">
        <f t="shared" si="75"/>
        <v>4095662.3263318948</v>
      </c>
      <c r="MA18" s="103"/>
      <c r="MB18" s="335"/>
      <c r="MD18" s="283">
        <v>13</v>
      </c>
      <c r="ME18" s="336">
        <v>13</v>
      </c>
      <c r="MF18" s="17">
        <f t="shared" si="19"/>
        <v>4989141.0435000006</v>
      </c>
      <c r="MG18" s="17">
        <f t="shared" si="19"/>
        <v>5355810.2957373727</v>
      </c>
      <c r="MH18" s="290">
        <f t="shared" si="20"/>
        <v>7167474.545319749</v>
      </c>
      <c r="MI18" s="17">
        <f t="shared" si="21"/>
        <v>5036359.4997524098</v>
      </c>
      <c r="MJ18" s="17">
        <f t="shared" si="21"/>
        <v>5507374.5955245309</v>
      </c>
      <c r="MK18" s="290">
        <f t="shared" si="54"/>
        <v>5262237.5499420585</v>
      </c>
      <c r="ML18" s="17">
        <f t="shared" si="55"/>
        <v>-47218.456252409145</v>
      </c>
      <c r="MM18" s="17">
        <f t="shared" si="55"/>
        <v>-151564.29978715815</v>
      </c>
      <c r="MN18" s="17">
        <f t="shared" si="55"/>
        <v>1905236.9953776905</v>
      </c>
      <c r="MX18" s="338">
        <f t="shared" si="85"/>
        <v>12</v>
      </c>
      <c r="MY18" s="346" t="s">
        <v>53</v>
      </c>
      <c r="MZ18" s="20">
        <f t="shared" si="115"/>
        <v>5491960.0167713584</v>
      </c>
      <c r="NA18" s="414">
        <f t="shared" si="116"/>
        <v>0.25074038084615319</v>
      </c>
      <c r="NC18" s="15">
        <f t="shared" si="117"/>
        <v>5491960.0167713584</v>
      </c>
      <c r="ND18" s="414">
        <f t="shared" si="118"/>
        <v>0.25074038084615319</v>
      </c>
      <c r="NH18" s="338">
        <f t="shared" si="86"/>
        <v>12</v>
      </c>
      <c r="NI18" s="346" t="str">
        <f t="shared" si="58"/>
        <v>Equipment</v>
      </c>
      <c r="NJ18" s="20">
        <v>5407933.3588502686</v>
      </c>
      <c r="NK18" s="20">
        <f t="shared" si="119"/>
        <v>5491960.0167713584</v>
      </c>
      <c r="NL18" s="20">
        <f t="shared" si="77"/>
        <v>84026.657921089791</v>
      </c>
      <c r="NM18" s="351">
        <f t="shared" si="78"/>
        <v>1.5537665193964951E-2</v>
      </c>
    </row>
    <row r="19" spans="2:377" x14ac:dyDescent="0.3">
      <c r="B19" s="226">
        <f t="shared" si="79"/>
        <v>14</v>
      </c>
      <c r="C19" s="339"/>
      <c r="D19" s="518" t="s">
        <v>51</v>
      </c>
      <c r="E19" s="340"/>
      <c r="F19" s="15">
        <f>EV9</f>
        <v>3516733.7788</v>
      </c>
      <c r="G19" s="341">
        <f t="shared" si="108"/>
        <v>0.16920480833846835</v>
      </c>
      <c r="H19" s="15">
        <f>FC9</f>
        <v>3375997.0894500008</v>
      </c>
      <c r="I19" s="342">
        <f t="shared" si="109"/>
        <v>0.1620430939955094</v>
      </c>
      <c r="J19" s="343">
        <f t="shared" si="59"/>
        <v>-140736.68934999919</v>
      </c>
      <c r="K19" s="15">
        <f>JN26+JP26</f>
        <v>3467071.2212437498</v>
      </c>
      <c r="L19" s="342">
        <f t="shared" si="110"/>
        <v>0.1641220800732022</v>
      </c>
      <c r="M19" s="343">
        <f t="shared" si="60"/>
        <v>91074.131793749053</v>
      </c>
      <c r="N19" s="15">
        <f>LR27+LT27</f>
        <v>3574173.7380319173</v>
      </c>
      <c r="O19" s="342">
        <f t="shared" si="111"/>
        <v>0.16318212105471561</v>
      </c>
      <c r="P19" s="343">
        <f t="shared" si="61"/>
        <v>107102.51678816741</v>
      </c>
      <c r="Q19" s="15">
        <f t="shared" si="62"/>
        <v>57439.959231917281</v>
      </c>
      <c r="R19" s="344">
        <f t="shared" si="63"/>
        <v>-3.5594066994274032E-2</v>
      </c>
      <c r="V19" s="385">
        <f t="shared" si="64"/>
        <v>10</v>
      </c>
      <c r="W19" s="386" t="s">
        <v>185</v>
      </c>
      <c r="X19" s="309">
        <f>X18/N$24*100</f>
        <v>0.10848595400006987</v>
      </c>
      <c r="Y19" s="309">
        <f>Y18/N$24*100</f>
        <v>0.59135481617998431</v>
      </c>
      <c r="Z19" s="309">
        <f>Z18/N$24*100</f>
        <v>1.2444694765790683</v>
      </c>
      <c r="AA19" s="309">
        <f>AA18/N$24*100</f>
        <v>1.9443102467591227</v>
      </c>
      <c r="AB19" s="342"/>
      <c r="AC19" s="348"/>
      <c r="AF19" s="249">
        <f t="shared" si="80"/>
        <v>13</v>
      </c>
      <c r="AG19" s="346" t="s">
        <v>78</v>
      </c>
      <c r="AH19" s="105">
        <f>AH15*LH27</f>
        <v>1867503.7556502623</v>
      </c>
      <c r="AI19" s="105">
        <f>AI15*LH27</f>
        <v>117263.97429991586</v>
      </c>
      <c r="AJ19" s="105">
        <f>AJ15*LG27</f>
        <v>547397.97344627196</v>
      </c>
      <c r="AL19" s="464"/>
      <c r="AN19" s="338">
        <f t="shared" si="121"/>
        <v>14</v>
      </c>
      <c r="AO19" s="492"/>
      <c r="AP19" s="493" t="s">
        <v>60</v>
      </c>
      <c r="AQ19" s="475"/>
      <c r="AR19" s="340"/>
      <c r="AS19" s="348">
        <v>32802383.3928</v>
      </c>
      <c r="AT19" s="349">
        <v>3.1987333437832652</v>
      </c>
      <c r="AU19" s="350"/>
      <c r="AV19" s="348">
        <v>36250313.730549999</v>
      </c>
      <c r="AW19" s="349">
        <v>3.359065788539803</v>
      </c>
      <c r="AX19" s="351">
        <f t="shared" si="96"/>
        <v>5.012372946564736E-2</v>
      </c>
      <c r="AY19" s="350"/>
      <c r="AZ19" s="348">
        <v>43223045.707989462</v>
      </c>
      <c r="BA19" s="349">
        <v>3.3502683932407789</v>
      </c>
      <c r="BB19" s="351">
        <f t="shared" si="97"/>
        <v>-2.6190005950578188E-3</v>
      </c>
      <c r="BC19" s="350"/>
      <c r="BD19" s="348">
        <v>49380961.369565383</v>
      </c>
      <c r="BE19" s="349">
        <v>3.3578537497555252</v>
      </c>
      <c r="BF19" s="351">
        <f t="shared" si="98"/>
        <v>2.2641041326867395E-3</v>
      </c>
      <c r="BG19" s="350"/>
      <c r="BH19" s="348">
        <v>57308507.547660008</v>
      </c>
      <c r="BI19" s="349">
        <v>3.7711862224659241</v>
      </c>
      <c r="BJ19" s="351">
        <f t="shared" si="99"/>
        <v>0.12309424516791179</v>
      </c>
      <c r="BK19" s="350"/>
      <c r="BL19" s="348">
        <v>61753474.575707734</v>
      </c>
      <c r="BM19" s="349">
        <v>3.6711456534132534</v>
      </c>
      <c r="BN19" s="351">
        <f t="shared" si="100"/>
        <v>-2.6527613103989212E-2</v>
      </c>
      <c r="BO19" s="350"/>
      <c r="BP19" s="348">
        <v>74174917.572400004</v>
      </c>
      <c r="BQ19" s="349">
        <v>3.9990987993156044</v>
      </c>
      <c r="BR19" s="351">
        <f t="shared" si="101"/>
        <v>8.9332643502563425E-2</v>
      </c>
      <c r="BS19" s="350"/>
      <c r="BT19" s="518">
        <v>83233170</v>
      </c>
      <c r="BU19" s="518">
        <v>4.24</v>
      </c>
      <c r="BV19" s="518">
        <f t="shared" si="102"/>
        <v>6.0238871999267252E-2</v>
      </c>
      <c r="BW19" s="15">
        <v>91278660.188299984</v>
      </c>
      <c r="BX19" s="16">
        <v>4.7155047883804926</v>
      </c>
      <c r="BY19" s="16">
        <f t="shared" si="65"/>
        <v>0.11214735575011603</v>
      </c>
      <c r="BZ19" s="16">
        <v>96836161.677461118</v>
      </c>
      <c r="CA19" s="16">
        <v>4.7471100714133083</v>
      </c>
      <c r="CB19" s="16">
        <f t="shared" si="66"/>
        <v>6.7024177582630795E-3</v>
      </c>
      <c r="CC19" s="15">
        <f t="shared" si="122"/>
        <v>99050498.270499989</v>
      </c>
      <c r="CD19" s="16">
        <f t="shared" si="122"/>
        <v>4.7657348067469085</v>
      </c>
      <c r="CE19" s="494">
        <f t="shared" si="104"/>
        <v>3.923383922727286E-3</v>
      </c>
      <c r="CF19" s="353">
        <f t="shared" si="68"/>
        <v>2.0196128459446396</v>
      </c>
      <c r="CG19" s="494">
        <f t="shared" si="105"/>
        <v>6.3319942515177807E-2</v>
      </c>
      <c r="CX19" s="438"/>
      <c r="CY19" s="455"/>
      <c r="CZ19" s="105"/>
      <c r="DA19" s="518"/>
      <c r="DB19" s="105"/>
      <c r="DK19" s="518"/>
      <c r="EO19" s="408"/>
      <c r="FE19" s="408"/>
      <c r="FG19" s="338">
        <f t="shared" si="84"/>
        <v>14</v>
      </c>
      <c r="FH19" s="360"/>
      <c r="FI19" s="361" t="s">
        <v>237</v>
      </c>
      <c r="FJ19" s="20">
        <v>61149.932899999993</v>
      </c>
      <c r="FK19" s="20">
        <v>92721.46</v>
      </c>
      <c r="FL19" s="20">
        <v>139427.68999999997</v>
      </c>
      <c r="FM19" s="343">
        <f t="shared" si="28"/>
        <v>293299.08289999998</v>
      </c>
      <c r="FN19" s="20">
        <v>64235.94502121213</v>
      </c>
      <c r="FO19" s="20">
        <v>92721.46</v>
      </c>
      <c r="FP19" s="20">
        <v>139427.69</v>
      </c>
      <c r="FQ19" s="20">
        <v>296385.09502121212</v>
      </c>
      <c r="FR19" s="20">
        <v>296385.09502121212</v>
      </c>
      <c r="FS19" s="103"/>
      <c r="FT19" s="408"/>
      <c r="HW19" s="338">
        <v>14</v>
      </c>
      <c r="HX19" s="322">
        <v>14</v>
      </c>
      <c r="HY19" s="322">
        <v>10</v>
      </c>
      <c r="HZ19" s="322">
        <v>11</v>
      </c>
      <c r="IA19" s="347">
        <v>127639512</v>
      </c>
      <c r="IB19" s="347">
        <v>140878049</v>
      </c>
      <c r="IC19" s="342">
        <f t="shared" si="5"/>
        <v>1.1000000000000001</v>
      </c>
      <c r="ID19" s="342">
        <f t="shared" si="6"/>
        <v>1.1037181730998784</v>
      </c>
      <c r="IE19" s="344">
        <v>0</v>
      </c>
      <c r="IF19" s="344">
        <v>0.81818181818181823</v>
      </c>
      <c r="IG19" s="344">
        <v>0.18181818181818182</v>
      </c>
      <c r="IK19" s="364">
        <v>14</v>
      </c>
      <c r="IL19" s="365">
        <v>14</v>
      </c>
      <c r="IM19" s="341">
        <f t="shared" si="7"/>
        <v>1.1037181730998784</v>
      </c>
      <c r="IN19" s="20">
        <v>5921.73</v>
      </c>
      <c r="IO19" s="343">
        <f t="shared" si="29"/>
        <v>6535.9210171907425</v>
      </c>
      <c r="IP19" s="20">
        <v>14076353</v>
      </c>
      <c r="IQ19" s="343">
        <v>15546310</v>
      </c>
      <c r="IR19" s="20">
        <v>6009582.7253</v>
      </c>
      <c r="IS19" s="343">
        <v>6612666</v>
      </c>
      <c r="IT19" s="20">
        <v>225000</v>
      </c>
      <c r="IU19" s="20">
        <v>247500</v>
      </c>
      <c r="IV19" s="20">
        <f t="shared" si="30"/>
        <v>6240504.4553000005</v>
      </c>
      <c r="IW19" s="20">
        <f t="shared" si="30"/>
        <v>6866701.9210171904</v>
      </c>
      <c r="IX19" s="314"/>
      <c r="IY19" s="315"/>
      <c r="IZ19" s="314"/>
      <c r="JA19" s="366">
        <v>14</v>
      </c>
      <c r="JB19" s="365">
        <v>14</v>
      </c>
      <c r="JC19" s="367">
        <f t="shared" si="8"/>
        <v>1.1000000000000001</v>
      </c>
      <c r="JD19" s="368">
        <f t="shared" si="8"/>
        <v>1.1037181730998784</v>
      </c>
      <c r="JE19" s="20">
        <v>2955752.728087069</v>
      </c>
      <c r="JF19" s="343">
        <f t="shared" si="70"/>
        <v>3262318.0011792416</v>
      </c>
      <c r="JG19" s="20">
        <v>72608.53</v>
      </c>
      <c r="JH19" s="343">
        <f t="shared" si="31"/>
        <v>80139.354083067708</v>
      </c>
      <c r="JI19" s="20">
        <v>1045787.5419129311</v>
      </c>
      <c r="JJ19" s="343">
        <f t="shared" si="32"/>
        <v>1150366.2961042244</v>
      </c>
      <c r="JK19" s="20">
        <v>1388384.8153083951</v>
      </c>
      <c r="JL19" s="343">
        <v>1553584.2256099153</v>
      </c>
      <c r="JM19" s="20">
        <v>143039.10675000004</v>
      </c>
      <c r="JN19" s="343">
        <f t="shared" si="33"/>
        <v>157874.86158394851</v>
      </c>
      <c r="JO19" s="20">
        <v>71991.232250000015</v>
      </c>
      <c r="JP19" s="343">
        <f t="shared" si="34"/>
        <v>79458.031338179062</v>
      </c>
      <c r="JQ19" s="20">
        <v>380591.60000000003</v>
      </c>
      <c r="JR19" s="343">
        <f t="shared" si="35"/>
        <v>420065.8654491597</v>
      </c>
      <c r="JS19" s="20">
        <v>583286.09279999998</v>
      </c>
      <c r="JT19" s="343">
        <f t="shared" si="36"/>
        <v>643783.46073978208</v>
      </c>
      <c r="JU19" s="20">
        <f t="shared" si="37"/>
        <v>6641441.6471083947</v>
      </c>
      <c r="JV19" s="20">
        <f t="shared" si="37"/>
        <v>7347590.0960875181</v>
      </c>
      <c r="JW19" s="369">
        <f t="shared" si="9"/>
        <v>5.2155677539852352</v>
      </c>
      <c r="KA19" s="338">
        <v>14</v>
      </c>
      <c r="KB19" s="322">
        <v>14</v>
      </c>
      <c r="KC19" s="518">
        <f t="shared" si="10"/>
        <v>11</v>
      </c>
      <c r="KD19" s="96">
        <f>KC19</f>
        <v>11</v>
      </c>
      <c r="KE19" s="370">
        <f t="shared" si="12"/>
        <v>140878049</v>
      </c>
      <c r="KF19" s="370">
        <f t="shared" si="13"/>
        <v>146066513.65557292</v>
      </c>
      <c r="KG19" s="371">
        <f t="shared" si="38"/>
        <v>1</v>
      </c>
      <c r="KH19" s="371">
        <f t="shared" si="39"/>
        <v>1.036829475510219</v>
      </c>
      <c r="KI19" s="371">
        <f t="shared" si="40"/>
        <v>0.96584178159863621</v>
      </c>
      <c r="KJ19" s="322" t="s">
        <v>256</v>
      </c>
      <c r="KK19" s="322"/>
      <c r="KL19" s="323"/>
      <c r="KM19" s="322"/>
      <c r="KN19" s="338">
        <v>14</v>
      </c>
      <c r="KO19" s="322">
        <v>14</v>
      </c>
      <c r="KP19" s="437" t="str">
        <f t="shared" si="14"/>
        <v>Q3</v>
      </c>
      <c r="KQ19" s="373">
        <f t="shared" si="15"/>
        <v>0.96584178159863621</v>
      </c>
      <c r="KR19" s="358">
        <f t="shared" si="41"/>
        <v>6535.9210171907425</v>
      </c>
      <c r="KS19" s="358">
        <f t="shared" si="42"/>
        <v>6312.6655996314776</v>
      </c>
      <c r="KT19" s="358">
        <f t="shared" si="16"/>
        <v>15546310</v>
      </c>
      <c r="KU19" s="358">
        <f t="shared" si="43"/>
        <v>15996200.206937993</v>
      </c>
      <c r="KV19" s="358">
        <f t="shared" si="17"/>
        <v>6612666</v>
      </c>
      <c r="KW19" s="358">
        <f t="shared" si="18"/>
        <v>8781077.8377253115</v>
      </c>
      <c r="KX19" s="358">
        <f t="shared" si="44"/>
        <v>247500</v>
      </c>
      <c r="KY19" s="358">
        <f t="shared" si="45"/>
        <v>317363.30977154244</v>
      </c>
      <c r="KZ19" s="358">
        <f t="shared" si="46"/>
        <v>6866701.9210171904</v>
      </c>
      <c r="LA19" s="358">
        <f t="shared" si="46"/>
        <v>9104753.813096486</v>
      </c>
      <c r="LB19" s="326"/>
      <c r="LC19" s="323"/>
      <c r="LD19" s="322"/>
      <c r="LE19" s="374">
        <f t="shared" si="71"/>
        <v>14</v>
      </c>
      <c r="LF19" s="375">
        <v>13</v>
      </c>
      <c r="LG19" s="376">
        <f t="shared" si="72"/>
        <v>1</v>
      </c>
      <c r="LH19" s="376">
        <f t="shared" si="72"/>
        <v>1.036829475510219</v>
      </c>
      <c r="LI19" s="377">
        <v>106.45762205358784</v>
      </c>
      <c r="LJ19" s="290">
        <f t="shared" si="73"/>
        <v>2058564.7709549631</v>
      </c>
      <c r="LK19" s="377">
        <v>106.45762205358784</v>
      </c>
      <c r="LL19" s="290">
        <f t="shared" si="47"/>
        <v>69875.011185052499</v>
      </c>
      <c r="LM19" s="377">
        <v>106.45762205358784</v>
      </c>
      <c r="LN19" s="290">
        <f t="shared" si="48"/>
        <v>1095656.673019445</v>
      </c>
      <c r="LO19" s="377">
        <v>118.614283549666</v>
      </c>
      <c r="LP19" s="290">
        <f t="shared" si="74"/>
        <v>1386171.1284569153</v>
      </c>
      <c r="LQ19" s="377">
        <v>119.48337591187899</v>
      </c>
      <c r="LR19" s="290">
        <f t="shared" si="49"/>
        <v>57931.837850284173</v>
      </c>
      <c r="LS19" s="377">
        <v>157.07111615098</v>
      </c>
      <c r="LT19" s="290">
        <f t="shared" si="50"/>
        <v>80892.118604102798</v>
      </c>
      <c r="LU19" s="377">
        <v>112.15574935818501</v>
      </c>
      <c r="LV19" s="290">
        <f t="shared" si="51"/>
        <v>163224.23236155775</v>
      </c>
      <c r="LW19" s="377">
        <v>116.939890710382</v>
      </c>
      <c r="LX19" s="378">
        <f t="shared" si="52"/>
        <v>349921.77750973793</v>
      </c>
      <c r="LY19" s="379">
        <f t="shared" si="53"/>
        <v>5507374.5955245309</v>
      </c>
      <c r="LZ19" s="379">
        <f t="shared" si="75"/>
        <v>5262237.5499420585</v>
      </c>
      <c r="MA19" s="103"/>
      <c r="MB19" s="335"/>
      <c r="MD19" s="338">
        <v>14</v>
      </c>
      <c r="ME19" s="380">
        <v>14</v>
      </c>
      <c r="MF19" s="20">
        <f t="shared" si="19"/>
        <v>6240504.4553000005</v>
      </c>
      <c r="MG19" s="20">
        <f t="shared" si="19"/>
        <v>6866701.9210171904</v>
      </c>
      <c r="MH19" s="343">
        <f t="shared" si="20"/>
        <v>9104753.813096486</v>
      </c>
      <c r="MI19" s="20">
        <f t="shared" si="21"/>
        <v>6641441.6471083947</v>
      </c>
      <c r="MJ19" s="20">
        <f t="shared" si="21"/>
        <v>7347590.0960875181</v>
      </c>
      <c r="MK19" s="343">
        <f t="shared" si="54"/>
        <v>7096609.5088616628</v>
      </c>
      <c r="ML19" s="20">
        <f t="shared" si="55"/>
        <v>-400937.19180839416</v>
      </c>
      <c r="MM19" s="20">
        <f t="shared" si="55"/>
        <v>-480888.17507032771</v>
      </c>
      <c r="MN19" s="20">
        <f t="shared" si="55"/>
        <v>2008144.3042348232</v>
      </c>
      <c r="MX19" s="283">
        <f t="shared" si="85"/>
        <v>13</v>
      </c>
      <c r="MY19" s="388" t="s">
        <v>51</v>
      </c>
      <c r="MZ19" s="17">
        <f t="shared" si="115"/>
        <v>3574173.7380319173</v>
      </c>
      <c r="NA19" s="381">
        <f t="shared" si="116"/>
        <v>0.16318212105471561</v>
      </c>
      <c r="NB19" s="97"/>
      <c r="NC19" s="18">
        <f t="shared" si="117"/>
        <v>3574173.7380319173</v>
      </c>
      <c r="ND19" s="381">
        <f t="shared" si="118"/>
        <v>0.16318212105471561</v>
      </c>
      <c r="NH19" s="283">
        <f t="shared" si="86"/>
        <v>13</v>
      </c>
      <c r="NI19" s="388" t="str">
        <f t="shared" si="58"/>
        <v>Vehicle</v>
      </c>
      <c r="NJ19" s="17">
        <v>3646879.9333716799</v>
      </c>
      <c r="NK19" s="17">
        <f t="shared" si="119"/>
        <v>3574173.7380319173</v>
      </c>
      <c r="NL19" s="17">
        <f t="shared" si="77"/>
        <v>-72706.195339762606</v>
      </c>
      <c r="NM19" s="395">
        <f t="shared" si="78"/>
        <v>-1.9936547588103058E-2</v>
      </c>
    </row>
    <row r="20" spans="2:377" x14ac:dyDescent="0.3">
      <c r="B20" s="265">
        <f t="shared" si="79"/>
        <v>15</v>
      </c>
      <c r="C20" s="384"/>
      <c r="D20" s="390" t="s">
        <v>54</v>
      </c>
      <c r="E20" s="286"/>
      <c r="F20" s="18">
        <f>FM37</f>
        <v>10262021.9365</v>
      </c>
      <c r="G20" s="313">
        <f t="shared" si="108"/>
        <v>0.49374890570281921</v>
      </c>
      <c r="H20" s="18">
        <f>FR37</f>
        <v>9669260.545699697</v>
      </c>
      <c r="I20" s="309">
        <f t="shared" si="109"/>
        <v>0.46411085494423426</v>
      </c>
      <c r="J20" s="290">
        <f t="shared" si="59"/>
        <v>-592761.39080030285</v>
      </c>
      <c r="K20" s="18">
        <f>JT26</f>
        <v>9826395.2532786801</v>
      </c>
      <c r="L20" s="309">
        <f t="shared" si="110"/>
        <v>0.46515584067263549</v>
      </c>
      <c r="M20" s="290">
        <f t="shared" si="60"/>
        <v>157134.70757898316</v>
      </c>
      <c r="N20" s="18">
        <f>LX27</f>
        <v>10641372.517436014</v>
      </c>
      <c r="O20" s="309">
        <f t="shared" si="111"/>
        <v>0.48584144633236087</v>
      </c>
      <c r="P20" s="290">
        <f t="shared" si="61"/>
        <v>814977.26415733434</v>
      </c>
      <c r="Q20" s="18">
        <f t="shared" si="62"/>
        <v>379350.58093601465</v>
      </c>
      <c r="R20" s="310">
        <f t="shared" si="63"/>
        <v>-1.601514308006935E-2</v>
      </c>
      <c r="V20" s="249">
        <f t="shared" si="64"/>
        <v>11</v>
      </c>
      <c r="W20" s="463" t="s">
        <v>134</v>
      </c>
      <c r="X20" s="20">
        <f>X18-X14</f>
        <v>4348395.5327532254</v>
      </c>
      <c r="Y20" s="20">
        <f t="shared" ref="Y20:AA20" si="123">Y18-Y14</f>
        <v>11948611.192300387</v>
      </c>
      <c r="Z20" s="20">
        <f t="shared" si="123"/>
        <v>23306471.501641296</v>
      </c>
      <c r="AA20" s="20">
        <f t="shared" si="123"/>
        <v>39603478.226694912</v>
      </c>
      <c r="AB20" s="20"/>
      <c r="AC20" s="349"/>
      <c r="AF20" s="385">
        <f t="shared" si="80"/>
        <v>14</v>
      </c>
      <c r="AG20" s="388" t="s">
        <v>186</v>
      </c>
      <c r="AH20" s="389">
        <f>AH19*3600/$N$24</f>
        <v>3.0694523728800585</v>
      </c>
      <c r="AI20" s="389">
        <f>AI19*3600/$N$24</f>
        <v>0.19273652493560511</v>
      </c>
      <c r="AJ20" s="389">
        <f>AJ19*3600/$N$24</f>
        <v>0.89971010950890817</v>
      </c>
      <c r="AL20" s="464"/>
      <c r="AN20" s="283">
        <f t="shared" si="121"/>
        <v>15</v>
      </c>
      <c r="AO20" s="284"/>
      <c r="AP20" s="282" t="s">
        <v>238</v>
      </c>
      <c r="AQ20" s="281"/>
      <c r="AR20" s="286"/>
      <c r="AS20" s="392">
        <v>8347158.8556000106</v>
      </c>
      <c r="AT20" s="393">
        <v>0.81397546749984451</v>
      </c>
      <c r="AU20" s="394"/>
      <c r="AV20" s="392">
        <v>7285795.8646500036</v>
      </c>
      <c r="AW20" s="393">
        <v>0.67512429859622292</v>
      </c>
      <c r="AX20" s="383">
        <f t="shared" si="96"/>
        <v>-0.17058397267193814</v>
      </c>
      <c r="AY20" s="394"/>
      <c r="AZ20" s="392">
        <v>9252422.5520105362</v>
      </c>
      <c r="BA20" s="393">
        <v>0.71716600089519644</v>
      </c>
      <c r="BB20" s="383">
        <f t="shared" si="97"/>
        <v>6.2272536163178183E-2</v>
      </c>
      <c r="BC20" s="394"/>
      <c r="BD20" s="392">
        <v>10915527.954034619</v>
      </c>
      <c r="BE20" s="393">
        <v>0.74224448966694945</v>
      </c>
      <c r="BF20" s="383">
        <f t="shared" si="98"/>
        <v>3.4968875742086292E-2</v>
      </c>
      <c r="BG20" s="394"/>
      <c r="BH20" s="392">
        <v>3838414.9907733351</v>
      </c>
      <c r="BI20" s="393">
        <v>0.25258689065096962</v>
      </c>
      <c r="BJ20" s="383">
        <f t="shared" si="99"/>
        <v>-0.65969853038005422</v>
      </c>
      <c r="BK20" s="394"/>
      <c r="BL20" s="392">
        <v>5658223.4029922634</v>
      </c>
      <c r="BM20" s="393">
        <v>0.33637236438364621</v>
      </c>
      <c r="BN20" s="383">
        <f t="shared" si="100"/>
        <v>0.33170951000958038</v>
      </c>
      <c r="BO20" s="394"/>
      <c r="BP20" s="392">
        <v>8558427.9676000625</v>
      </c>
      <c r="BQ20" s="393">
        <v>0.46142281150297859</v>
      </c>
      <c r="BR20" s="383">
        <f t="shared" si="101"/>
        <v>0.37176195300249848</v>
      </c>
      <c r="BS20" s="394"/>
      <c r="BT20" s="97">
        <v>12790093</v>
      </c>
      <c r="BU20" s="97">
        <v>0.65</v>
      </c>
      <c r="BV20" s="97">
        <f t="shared" si="102"/>
        <v>0.40868631501501773</v>
      </c>
      <c r="BW20" s="18">
        <v>16992816.141500026</v>
      </c>
      <c r="BX20" s="19">
        <v>0.87785804171546822</v>
      </c>
      <c r="BY20" s="19">
        <f t="shared" si="65"/>
        <v>0.35055083340841264</v>
      </c>
      <c r="BZ20" s="19">
        <v>13569776.854138836</v>
      </c>
      <c r="CA20" s="19">
        <v>0.66521868747413349</v>
      </c>
      <c r="CB20" s="19">
        <f t="shared" si="66"/>
        <v>-0.24222521653478857</v>
      </c>
      <c r="CC20" s="18">
        <f t="shared" si="122"/>
        <v>5345041.1556581408</v>
      </c>
      <c r="CD20" s="19">
        <f t="shared" si="122"/>
        <v>0.2571723426312264</v>
      </c>
      <c r="CE20" s="395">
        <f t="shared" si="104"/>
        <v>-0.61340180684381873</v>
      </c>
      <c r="CF20" s="396">
        <f>CC20/AS20-1</f>
        <v>-0.35965742977657411</v>
      </c>
      <c r="CG20" s="395">
        <f t="shared" si="105"/>
        <v>-2.4459886578234724E-2</v>
      </c>
      <c r="CX20" s="438"/>
      <c r="CY20" s="439"/>
      <c r="CZ20" s="440"/>
      <c r="DA20" s="518"/>
      <c r="DB20" s="440"/>
      <c r="EO20" s="408"/>
      <c r="FE20" s="408"/>
      <c r="FG20" s="483">
        <f t="shared" si="84"/>
        <v>15</v>
      </c>
      <c r="FH20" s="495"/>
      <c r="FI20" s="496" t="s">
        <v>239</v>
      </c>
      <c r="FJ20" s="28">
        <f>SUM(FJ7:FJ19)</f>
        <v>1380140.4319</v>
      </c>
      <c r="FK20" s="28">
        <f>SUM(FK7:FK19)</f>
        <v>2133149.0299999998</v>
      </c>
      <c r="FL20" s="28">
        <f>SUM(FL7:FL19)</f>
        <v>3585332.5999999996</v>
      </c>
      <c r="FM20" s="497">
        <f t="shared" si="28"/>
        <v>7098622.0618999992</v>
      </c>
      <c r="FN20" s="28">
        <v>1367749.0706878789</v>
      </c>
      <c r="FO20" s="28">
        <v>1957850.02</v>
      </c>
      <c r="FP20" s="28">
        <v>3562684.7899999996</v>
      </c>
      <c r="FQ20" s="28">
        <v>6888283.8806878785</v>
      </c>
      <c r="FR20" s="28">
        <v>6888283.8806878785</v>
      </c>
      <c r="FS20" s="103"/>
      <c r="FT20" s="408"/>
      <c r="GB20" s="355"/>
      <c r="GC20" s="355"/>
      <c r="GD20" s="355"/>
      <c r="GE20" s="355"/>
      <c r="HW20" s="283">
        <v>15</v>
      </c>
      <c r="HX20" s="306">
        <v>15</v>
      </c>
      <c r="HY20" s="306">
        <v>10</v>
      </c>
      <c r="HZ20" s="306">
        <v>10</v>
      </c>
      <c r="IA20" s="307">
        <v>149240972</v>
      </c>
      <c r="IB20" s="307">
        <v>147703472</v>
      </c>
      <c r="IC20" s="309">
        <f t="shared" si="5"/>
        <v>1</v>
      </c>
      <c r="ID20" s="309">
        <f t="shared" si="6"/>
        <v>0.98969786929557124</v>
      </c>
      <c r="IE20" s="310">
        <v>0</v>
      </c>
      <c r="IF20" s="310">
        <v>0.7</v>
      </c>
      <c r="IG20" s="310">
        <v>0.3</v>
      </c>
      <c r="IK20" s="410">
        <v>15</v>
      </c>
      <c r="IL20" s="317">
        <v>15</v>
      </c>
      <c r="IM20" s="313">
        <f t="shared" si="7"/>
        <v>0.98969786929557124</v>
      </c>
      <c r="IN20" s="17">
        <v>41766.03</v>
      </c>
      <c r="IO20" s="290">
        <f>IM20*IN20</f>
        <v>41335.750899934908</v>
      </c>
      <c r="IP20" s="17">
        <v>16519827</v>
      </c>
      <c r="IQ20" s="290">
        <v>16334685</v>
      </c>
      <c r="IR20" s="17">
        <v>7053332.9710000008</v>
      </c>
      <c r="IS20" s="290">
        <v>6877204</v>
      </c>
      <c r="IT20" s="17">
        <v>225000</v>
      </c>
      <c r="IU20" s="17">
        <v>225000</v>
      </c>
      <c r="IV20" s="17">
        <f t="shared" si="30"/>
        <v>7320099.0010000011</v>
      </c>
      <c r="IW20" s="17">
        <f t="shared" si="30"/>
        <v>7143539.7508999351</v>
      </c>
      <c r="IX20" s="314"/>
      <c r="IY20" s="315"/>
      <c r="IZ20" s="314"/>
      <c r="JA20" s="316">
        <v>15</v>
      </c>
      <c r="JB20" s="317">
        <v>15</v>
      </c>
      <c r="JC20" s="318">
        <f t="shared" si="8"/>
        <v>1</v>
      </c>
      <c r="JD20" s="319">
        <f t="shared" si="8"/>
        <v>0.98969786929557124</v>
      </c>
      <c r="JE20" s="17">
        <v>2666481.7718156227</v>
      </c>
      <c r="JF20" s="290">
        <f t="shared" si="70"/>
        <v>2639011.3280814015</v>
      </c>
      <c r="JG20" s="17">
        <v>12386.502</v>
      </c>
      <c r="JH20" s="290">
        <f t="shared" si="31"/>
        <v>12258.894637425332</v>
      </c>
      <c r="JI20" s="17">
        <v>1393972.8261843773</v>
      </c>
      <c r="JJ20" s="290">
        <f t="shared" si="32"/>
        <v>1393972.8261843773</v>
      </c>
      <c r="JK20" s="17">
        <v>1404302.105180813</v>
      </c>
      <c r="JL20" s="290">
        <v>1404302.105180813</v>
      </c>
      <c r="JM20" s="17">
        <v>114885.56999999998</v>
      </c>
      <c r="JN20" s="290">
        <f t="shared" si="33"/>
        <v>113702.00384180718</v>
      </c>
      <c r="JO20" s="17">
        <v>58294.29</v>
      </c>
      <c r="JP20" s="290">
        <f t="shared" si="34"/>
        <v>57693.734605098129</v>
      </c>
      <c r="JQ20" s="17">
        <v>404259.63</v>
      </c>
      <c r="JR20" s="290">
        <f t="shared" si="35"/>
        <v>400094.89445321599</v>
      </c>
      <c r="JS20" s="17">
        <v>619509.42179999989</v>
      </c>
      <c r="JT20" s="290">
        <f t="shared" si="36"/>
        <v>613127.15476399125</v>
      </c>
      <c r="JU20" s="17">
        <f t="shared" si="37"/>
        <v>6674092.1169808125</v>
      </c>
      <c r="JV20" s="17">
        <f t="shared" si="37"/>
        <v>6634162.9417481301</v>
      </c>
      <c r="JW20" s="320">
        <f t="shared" si="9"/>
        <v>4.4915416353571764</v>
      </c>
      <c r="KA20" s="283">
        <v>15</v>
      </c>
      <c r="KB20" s="306">
        <v>15</v>
      </c>
      <c r="KC20" s="97">
        <f t="shared" si="10"/>
        <v>10</v>
      </c>
      <c r="KD20" s="390">
        <f>KC20</f>
        <v>10</v>
      </c>
      <c r="KE20" s="289">
        <f t="shared" si="12"/>
        <v>147703472</v>
      </c>
      <c r="KF20" s="289">
        <f t="shared" si="13"/>
        <v>153143313.40479833</v>
      </c>
      <c r="KG20" s="321">
        <f t="shared" si="38"/>
        <v>1</v>
      </c>
      <c r="KH20" s="321">
        <f t="shared" si="39"/>
        <v>1.036829475510219</v>
      </c>
      <c r="KI20" s="321">
        <f t="shared" si="40"/>
        <v>0.96468934485343605</v>
      </c>
      <c r="KJ20" s="306" t="s">
        <v>256</v>
      </c>
      <c r="KK20" s="322"/>
      <c r="KL20" s="323"/>
      <c r="KM20" s="322"/>
      <c r="KN20" s="283">
        <v>15</v>
      </c>
      <c r="KO20" s="306">
        <v>15</v>
      </c>
      <c r="KP20" s="324" t="str">
        <f t="shared" si="14"/>
        <v>Q3</v>
      </c>
      <c r="KQ20" s="325">
        <f t="shared" si="15"/>
        <v>0.96468934485343605</v>
      </c>
      <c r="KR20" s="17">
        <f t="shared" si="41"/>
        <v>41335.750899934908</v>
      </c>
      <c r="KS20" s="17">
        <f t="shared" si="42"/>
        <v>39876.158454683035</v>
      </c>
      <c r="KT20" s="17">
        <f t="shared" si="16"/>
        <v>16334685</v>
      </c>
      <c r="KU20" s="17">
        <f t="shared" si="43"/>
        <v>16771202.654658146</v>
      </c>
      <c r="KV20" s="17">
        <f t="shared" si="17"/>
        <v>6877204</v>
      </c>
      <c r="KW20" s="17">
        <f t="shared" si="18"/>
        <v>9206513.6743502282</v>
      </c>
      <c r="KX20" s="17">
        <f t="shared" si="44"/>
        <v>225000</v>
      </c>
      <c r="KY20" s="17">
        <f t="shared" si="45"/>
        <v>332739.29523731803</v>
      </c>
      <c r="KZ20" s="17">
        <f t="shared" si="46"/>
        <v>7143539.7508999351</v>
      </c>
      <c r="LA20" s="17">
        <f t="shared" si="46"/>
        <v>9579129.1280422285</v>
      </c>
      <c r="LB20" s="326"/>
      <c r="LC20" s="323"/>
      <c r="LD20" s="322"/>
      <c r="LE20" s="364">
        <f t="shared" si="71"/>
        <v>15</v>
      </c>
      <c r="LF20" s="365">
        <v>14</v>
      </c>
      <c r="LG20" s="411">
        <f t="shared" si="72"/>
        <v>1</v>
      </c>
      <c r="LH20" s="411">
        <f t="shared" si="72"/>
        <v>1.036829475510219</v>
      </c>
      <c r="LI20" s="412">
        <v>106.45762205358784</v>
      </c>
      <c r="LJ20" s="343">
        <f t="shared" si="73"/>
        <v>2983376.5781376585</v>
      </c>
      <c r="LK20" s="412">
        <v>106.45762205358784</v>
      </c>
      <c r="LL20" s="343">
        <f t="shared" si="47"/>
        <v>73287.114215132169</v>
      </c>
      <c r="LM20" s="412">
        <v>106.45762205358784</v>
      </c>
      <c r="LN20" s="343">
        <f t="shared" si="48"/>
        <v>1014636.7710911277</v>
      </c>
      <c r="LO20" s="412">
        <v>118.614283549666</v>
      </c>
      <c r="LP20" s="343">
        <f t="shared" si="74"/>
        <v>1625085.1935854214</v>
      </c>
      <c r="LQ20" s="412">
        <v>119.48337591187899</v>
      </c>
      <c r="LR20" s="343">
        <f t="shared" si="49"/>
        <v>171135.32258454821</v>
      </c>
      <c r="LS20" s="412">
        <v>157.07111615098</v>
      </c>
      <c r="LT20" s="343">
        <f t="shared" si="50"/>
        <v>74906.750998914591</v>
      </c>
      <c r="LU20" s="412">
        <v>112.15574935818501</v>
      </c>
      <c r="LV20" s="343">
        <f t="shared" si="51"/>
        <v>457872.85477894457</v>
      </c>
      <c r="LW20" s="412">
        <v>116.939890710382</v>
      </c>
      <c r="LX20" s="343">
        <f t="shared" si="52"/>
        <v>696308.9234699161</v>
      </c>
      <c r="LY20" s="20">
        <f t="shared" si="53"/>
        <v>7347590.0960875181</v>
      </c>
      <c r="LZ20" s="20">
        <f t="shared" si="75"/>
        <v>7096609.5088616628</v>
      </c>
      <c r="MA20" s="103"/>
      <c r="MB20" s="335"/>
      <c r="MD20" s="283">
        <v>15</v>
      </c>
      <c r="ME20" s="336">
        <v>15</v>
      </c>
      <c r="MF20" s="17">
        <f t="shared" si="19"/>
        <v>7320099.0010000011</v>
      </c>
      <c r="MG20" s="17">
        <f t="shared" si="19"/>
        <v>7143539.7508999351</v>
      </c>
      <c r="MH20" s="290">
        <f t="shared" si="20"/>
        <v>9579129.1280422285</v>
      </c>
      <c r="MI20" s="17">
        <f t="shared" si="21"/>
        <v>6674092.1169808125</v>
      </c>
      <c r="MJ20" s="17">
        <f t="shared" si="21"/>
        <v>6634162.9417481301</v>
      </c>
      <c r="MK20" s="290">
        <f t="shared" si="54"/>
        <v>6399906.3019259479</v>
      </c>
      <c r="ML20" s="17">
        <f t="shared" si="55"/>
        <v>646006.88401918858</v>
      </c>
      <c r="MM20" s="17">
        <f t="shared" si="55"/>
        <v>509376.80915180501</v>
      </c>
      <c r="MN20" s="17">
        <f t="shared" si="55"/>
        <v>3179222.8261162806</v>
      </c>
      <c r="MX20" s="446">
        <f t="shared" si="85"/>
        <v>14</v>
      </c>
      <c r="MY20" s="418" t="s">
        <v>54</v>
      </c>
      <c r="MZ20" s="24">
        <f t="shared" si="115"/>
        <v>10641372.517436014</v>
      </c>
      <c r="NA20" s="472">
        <f t="shared" si="116"/>
        <v>0.48584144633236087</v>
      </c>
      <c r="NB20" s="453"/>
      <c r="NC20" s="22">
        <f t="shared" si="117"/>
        <v>10641372.517436014</v>
      </c>
      <c r="ND20" s="472">
        <f t="shared" si="118"/>
        <v>0.48584144633236087</v>
      </c>
      <c r="NH20" s="446">
        <f t="shared" si="86"/>
        <v>14</v>
      </c>
      <c r="NI20" s="418" t="str">
        <f t="shared" si="58"/>
        <v>Overhead</v>
      </c>
      <c r="NJ20" s="24">
        <v>11416166.846978595</v>
      </c>
      <c r="NK20" s="24">
        <f t="shared" si="119"/>
        <v>10641372.517436014</v>
      </c>
      <c r="NL20" s="24">
        <f t="shared" si="77"/>
        <v>-774794.32954258099</v>
      </c>
      <c r="NM20" s="473">
        <f t="shared" si="78"/>
        <v>-6.7868168004888457E-2</v>
      </c>
    </row>
    <row r="21" spans="2:377" ht="17.25" thickBot="1" x14ac:dyDescent="0.35">
      <c r="B21" s="226">
        <f t="shared" si="79"/>
        <v>16</v>
      </c>
      <c r="C21" s="474" t="s">
        <v>240</v>
      </c>
      <c r="D21" s="474"/>
      <c r="E21" s="476"/>
      <c r="F21" s="498">
        <f>SUM(F14:F20)</f>
        <v>99050498.270499989</v>
      </c>
      <c r="G21" s="499">
        <f t="shared" si="108"/>
        <v>4.7657348067469085</v>
      </c>
      <c r="H21" s="498">
        <f>SUM(H14:H20)</f>
        <v>94716912.471479237</v>
      </c>
      <c r="I21" s="500">
        <f t="shared" si="109"/>
        <v>4.5462780754591217</v>
      </c>
      <c r="J21" s="501">
        <f t="shared" si="59"/>
        <v>-4333585.7990207523</v>
      </c>
      <c r="K21" s="498">
        <f>SUM(K14:K20)</f>
        <v>96946557.618657649</v>
      </c>
      <c r="L21" s="500">
        <f t="shared" si="110"/>
        <v>4.5891963784357532</v>
      </c>
      <c r="M21" s="501">
        <f t="shared" si="60"/>
        <v>2229645.1471784115</v>
      </c>
      <c r="N21" s="498">
        <f>SUM(N14:N20)</f>
        <v>94052514.50930278</v>
      </c>
      <c r="O21" s="500">
        <f t="shared" si="111"/>
        <v>4.2940522574060687</v>
      </c>
      <c r="P21" s="501">
        <f t="shared" si="61"/>
        <v>-2894043.1093548685</v>
      </c>
      <c r="Q21" s="498">
        <f t="shared" si="62"/>
        <v>-4997983.7611972094</v>
      </c>
      <c r="R21" s="502">
        <f t="shared" si="63"/>
        <v>-9.8973729858630177E-2</v>
      </c>
      <c r="V21" s="275"/>
      <c r="W21" s="276" t="s">
        <v>29</v>
      </c>
      <c r="X21" s="415"/>
      <c r="Y21" s="416"/>
      <c r="Z21" s="416"/>
      <c r="AA21" s="416"/>
      <c r="AB21" s="279"/>
      <c r="AC21" s="351"/>
      <c r="AF21" s="503">
        <f t="shared" si="80"/>
        <v>15</v>
      </c>
      <c r="AG21" s="504" t="s">
        <v>195</v>
      </c>
      <c r="AH21" s="505">
        <f>LJ27/AH19</f>
        <v>18.126229971500369</v>
      </c>
      <c r="AI21" s="505">
        <f>LL27/AI19</f>
        <v>17.291242088657373</v>
      </c>
      <c r="AJ21" s="505">
        <f>LN27/AJ19</f>
        <v>28.701600342097091</v>
      </c>
      <c r="AL21" s="464"/>
      <c r="AN21" s="977" t="s">
        <v>241</v>
      </c>
      <c r="AO21" s="977"/>
      <c r="AP21" s="977"/>
      <c r="AQ21" s="977"/>
      <c r="AR21" s="977"/>
      <c r="AS21" s="977"/>
      <c r="AT21" s="977"/>
      <c r="AU21" s="977"/>
      <c r="AV21" s="977"/>
      <c r="AW21" s="977"/>
      <c r="AX21" s="977"/>
      <c r="AY21" s="977"/>
      <c r="AZ21" s="977"/>
      <c r="BA21" s="977"/>
      <c r="BB21" s="977"/>
      <c r="BC21" s="977"/>
      <c r="BD21" s="977"/>
      <c r="BE21" s="977"/>
      <c r="BF21" s="977"/>
      <c r="BG21" s="977"/>
      <c r="BH21" s="977"/>
      <c r="BI21" s="977"/>
      <c r="BJ21" s="977"/>
      <c r="BK21" s="977"/>
      <c r="BL21" s="977"/>
      <c r="BM21" s="977"/>
      <c r="BN21" s="977"/>
      <c r="BO21" s="977"/>
      <c r="BP21" s="977"/>
      <c r="BQ21" s="977"/>
      <c r="BR21" s="977"/>
      <c r="BS21" s="977"/>
      <c r="BT21" s="977"/>
      <c r="BU21" s="977"/>
      <c r="BV21" s="977"/>
      <c r="BW21" s="977"/>
      <c r="BX21" s="977"/>
      <c r="BY21" s="977"/>
      <c r="BZ21" s="977"/>
      <c r="CA21" s="977"/>
      <c r="CB21" s="977"/>
      <c r="CC21" s="977"/>
      <c r="CD21" s="977"/>
      <c r="CE21" s="977"/>
      <c r="CF21" s="977"/>
      <c r="CG21" s="977"/>
      <c r="CX21" s="438"/>
      <c r="CY21" s="91"/>
      <c r="CZ21" s="506"/>
      <c r="DA21" s="518"/>
      <c r="DB21" s="506"/>
      <c r="EO21" s="408"/>
      <c r="FE21" s="408"/>
      <c r="FG21" s="338">
        <f t="shared" si="84"/>
        <v>16</v>
      </c>
      <c r="FH21" s="474" t="s">
        <v>242</v>
      </c>
      <c r="FI21" s="476"/>
      <c r="FJ21" s="507"/>
      <c r="FK21" s="507"/>
      <c r="FL21" s="507"/>
      <c r="FM21" s="508"/>
      <c r="FN21" s="507"/>
      <c r="FO21" s="507"/>
      <c r="FP21" s="507"/>
      <c r="FQ21" s="507"/>
      <c r="FR21" s="507"/>
      <c r="FS21" s="103"/>
      <c r="FT21" s="408"/>
      <c r="HW21" s="338">
        <v>16</v>
      </c>
      <c r="HX21" s="322">
        <v>16</v>
      </c>
      <c r="HY21" s="322">
        <v>11</v>
      </c>
      <c r="HZ21" s="322">
        <v>11</v>
      </c>
      <c r="IA21" s="347">
        <v>176731631</v>
      </c>
      <c r="IB21" s="347">
        <v>176378863</v>
      </c>
      <c r="IC21" s="342">
        <f t="shared" si="5"/>
        <v>1</v>
      </c>
      <c r="ID21" s="342">
        <f t="shared" si="6"/>
        <v>0.99800393399866261</v>
      </c>
      <c r="IE21" s="344">
        <v>0</v>
      </c>
      <c r="IF21" s="344">
        <v>0.27272727272727271</v>
      </c>
      <c r="IG21" s="344">
        <v>0.72727272727272729</v>
      </c>
      <c r="IK21" s="364">
        <v>16</v>
      </c>
      <c r="IL21" s="365">
        <v>16</v>
      </c>
      <c r="IM21" s="341">
        <f t="shared" si="7"/>
        <v>0.99800393399866261</v>
      </c>
      <c r="IN21" s="20">
        <v>37428.76</v>
      </c>
      <c r="IO21" s="343">
        <f t="shared" si="29"/>
        <v>37354.049724691788</v>
      </c>
      <c r="IP21" s="20">
        <v>19638600</v>
      </c>
      <c r="IQ21" s="343">
        <v>19576608</v>
      </c>
      <c r="IR21" s="20">
        <v>8489478.1173999999</v>
      </c>
      <c r="IS21" s="343">
        <v>7937779</v>
      </c>
      <c r="IT21" s="20">
        <v>247500</v>
      </c>
      <c r="IU21" s="20">
        <v>247500</v>
      </c>
      <c r="IV21" s="20">
        <f t="shared" si="30"/>
        <v>8774406.8773999996</v>
      </c>
      <c r="IW21" s="20">
        <f t="shared" si="30"/>
        <v>8222633.0497246915</v>
      </c>
      <c r="IX21" s="314"/>
      <c r="IY21" s="315"/>
      <c r="IZ21" s="314"/>
      <c r="JA21" s="366">
        <v>16</v>
      </c>
      <c r="JB21" s="365">
        <v>16</v>
      </c>
      <c r="JC21" s="367">
        <f t="shared" si="8"/>
        <v>1</v>
      </c>
      <c r="JD21" s="368">
        <f t="shared" si="8"/>
        <v>0.99800393399866261</v>
      </c>
      <c r="JE21" s="20">
        <v>2972031.7157168714</v>
      </c>
      <c r="JF21" s="343">
        <f t="shared" si="70"/>
        <v>2966099.3442542325</v>
      </c>
      <c r="JG21" s="20">
        <v>123156.16099999999</v>
      </c>
      <c r="JH21" s="343">
        <f t="shared" si="31"/>
        <v>122910.33317417266</v>
      </c>
      <c r="JI21" s="20">
        <v>1606050.4232831288</v>
      </c>
      <c r="JJ21" s="343">
        <f t="shared" si="32"/>
        <v>1606050.4232831288</v>
      </c>
      <c r="JK21" s="20">
        <v>1758443.1926842947</v>
      </c>
      <c r="JL21" s="343">
        <v>1758443.1926842947</v>
      </c>
      <c r="JM21" s="20">
        <v>110720.24800000001</v>
      </c>
      <c r="JN21" s="343">
        <f t="shared" si="33"/>
        <v>110499.24307730756</v>
      </c>
      <c r="JO21" s="20">
        <v>56992.322</v>
      </c>
      <c r="JP21" s="343">
        <f t="shared" si="34"/>
        <v>56878.561563718526</v>
      </c>
      <c r="JQ21" s="20">
        <v>523193.18</v>
      </c>
      <c r="JR21" s="343">
        <f t="shared" si="35"/>
        <v>522148.85188127041</v>
      </c>
      <c r="JS21" s="20">
        <v>717971.55015000002</v>
      </c>
      <c r="JT21" s="343">
        <f t="shared" si="36"/>
        <v>716538.43154881813</v>
      </c>
      <c r="JU21" s="20">
        <f t="shared" si="37"/>
        <v>7868558.792834294</v>
      </c>
      <c r="JV21" s="20">
        <f t="shared" si="37"/>
        <v>7859568.3814669428</v>
      </c>
      <c r="JW21" s="369">
        <f t="shared" si="9"/>
        <v>4.4560715767098147</v>
      </c>
      <c r="KA21" s="338">
        <v>16</v>
      </c>
      <c r="KB21" s="322">
        <v>16</v>
      </c>
      <c r="KC21" s="518">
        <f t="shared" si="10"/>
        <v>11</v>
      </c>
      <c r="KD21" s="96">
        <f>KC21</f>
        <v>11</v>
      </c>
      <c r="KE21" s="370">
        <f t="shared" si="12"/>
        <v>176378863</v>
      </c>
      <c r="KF21" s="370">
        <f t="shared" si="13"/>
        <v>182874804.01537877</v>
      </c>
      <c r="KG21" s="371">
        <f t="shared" si="38"/>
        <v>1</v>
      </c>
      <c r="KH21" s="371">
        <f t="shared" si="39"/>
        <v>1.036829475510219</v>
      </c>
      <c r="KI21" s="371">
        <f t="shared" si="40"/>
        <v>0.93522595737362624</v>
      </c>
      <c r="KJ21" s="322" t="s">
        <v>441</v>
      </c>
      <c r="KK21" s="322"/>
      <c r="KL21" s="323"/>
      <c r="KM21" s="322"/>
      <c r="KN21" s="338">
        <v>16</v>
      </c>
      <c r="KO21" s="322">
        <v>16</v>
      </c>
      <c r="KP21" s="437" t="str">
        <f t="shared" si="14"/>
        <v>Q2</v>
      </c>
      <c r="KQ21" s="373">
        <f t="shared" si="15"/>
        <v>0.93522595737362624</v>
      </c>
      <c r="KR21" s="358">
        <f t="shared" si="41"/>
        <v>37354.049724691788</v>
      </c>
      <c r="KS21" s="358">
        <f t="shared" si="42"/>
        <v>34934.476915556916</v>
      </c>
      <c r="KT21" s="358">
        <f t="shared" si="16"/>
        <v>19576608</v>
      </c>
      <c r="KU21" s="358">
        <f t="shared" si="43"/>
        <v>20027191.069490805</v>
      </c>
      <c r="KV21" s="358">
        <f t="shared" si="17"/>
        <v>7937779</v>
      </c>
      <c r="KW21" s="358">
        <f t="shared" si="18"/>
        <v>10993881.132840568</v>
      </c>
      <c r="KX21" s="358">
        <f t="shared" si="44"/>
        <v>247500</v>
      </c>
      <c r="KY21" s="358">
        <f t="shared" si="45"/>
        <v>397337.84030059539</v>
      </c>
      <c r="KZ21" s="358">
        <f t="shared" si="46"/>
        <v>8222633.0497246915</v>
      </c>
      <c r="LA21" s="358">
        <f t="shared" si="46"/>
        <v>11426153.450056721</v>
      </c>
      <c r="LB21" s="326"/>
      <c r="LC21" s="323"/>
      <c r="LD21" s="322"/>
      <c r="LE21" s="374">
        <f t="shared" si="71"/>
        <v>16</v>
      </c>
      <c r="LF21" s="375">
        <v>15</v>
      </c>
      <c r="LG21" s="376">
        <f t="shared" si="72"/>
        <v>1</v>
      </c>
      <c r="LH21" s="376">
        <f t="shared" si="72"/>
        <v>1.036829475510219</v>
      </c>
      <c r="LI21" s="377">
        <v>106.45762205358784</v>
      </c>
      <c r="LJ21" s="290">
        <f t="shared" si="73"/>
        <v>2413365.1540996521</v>
      </c>
      <c r="LK21" s="377">
        <v>106.45762205358784</v>
      </c>
      <c r="LL21" s="290">
        <f t="shared" si="47"/>
        <v>11210.709416412485</v>
      </c>
      <c r="LM21" s="377">
        <v>106.45762205358784</v>
      </c>
      <c r="LN21" s="290">
        <f t="shared" si="48"/>
        <v>1229500.631353986</v>
      </c>
      <c r="LO21" s="377">
        <v>118.614283549666</v>
      </c>
      <c r="LP21" s="290">
        <f t="shared" si="74"/>
        <v>1468932.6274243365</v>
      </c>
      <c r="LQ21" s="377">
        <v>119.48337591187899</v>
      </c>
      <c r="LR21" s="290">
        <f t="shared" si="49"/>
        <v>123252.23224743964</v>
      </c>
      <c r="LS21" s="377">
        <v>157.07111615098</v>
      </c>
      <c r="LT21" s="290">
        <f t="shared" si="50"/>
        <v>54389.092448921816</v>
      </c>
      <c r="LU21" s="377">
        <v>112.15574935818501</v>
      </c>
      <c r="LV21" s="290">
        <f t="shared" si="51"/>
        <v>436104.4459299114</v>
      </c>
      <c r="LW21" s="377">
        <v>116.939890710382</v>
      </c>
      <c r="LX21" s="378">
        <f t="shared" si="52"/>
        <v>663151.4090052885</v>
      </c>
      <c r="LY21" s="379">
        <f t="shared" si="53"/>
        <v>6634162.9417481301</v>
      </c>
      <c r="LZ21" s="379">
        <f t="shared" si="75"/>
        <v>6399906.3019259479</v>
      </c>
      <c r="MA21" s="103"/>
      <c r="MB21" s="335"/>
      <c r="MD21" s="338">
        <v>16</v>
      </c>
      <c r="ME21" s="380">
        <v>16</v>
      </c>
      <c r="MF21" s="20">
        <f t="shared" si="19"/>
        <v>8774406.8773999996</v>
      </c>
      <c r="MG21" s="20">
        <f t="shared" si="19"/>
        <v>8222633.0497246915</v>
      </c>
      <c r="MH21" s="343">
        <f t="shared" si="20"/>
        <v>11426153.450056721</v>
      </c>
      <c r="MI21" s="20">
        <f t="shared" si="21"/>
        <v>7868558.792834294</v>
      </c>
      <c r="MJ21" s="20">
        <f t="shared" si="21"/>
        <v>7859568.3814669428</v>
      </c>
      <c r="MK21" s="343">
        <f t="shared" si="54"/>
        <v>7350472.3641009033</v>
      </c>
      <c r="ML21" s="20">
        <f t="shared" si="55"/>
        <v>905848.08456570562</v>
      </c>
      <c r="MM21" s="20">
        <f t="shared" si="55"/>
        <v>363064.66825774871</v>
      </c>
      <c r="MN21" s="20">
        <f t="shared" si="55"/>
        <v>4075681.0859558173</v>
      </c>
      <c r="MX21" s="283">
        <f t="shared" si="85"/>
        <v>15</v>
      </c>
      <c r="MY21" s="285" t="s">
        <v>60</v>
      </c>
      <c r="MZ21" s="28">
        <f t="shared" si="115"/>
        <v>94052514.50930278</v>
      </c>
      <c r="NA21" s="509">
        <f t="shared" si="116"/>
        <v>4.2940522574060687</v>
      </c>
      <c r="NB21" s="285"/>
      <c r="NC21" s="510">
        <f>SUM(NC14:NC20)</f>
        <v>94052514.50930278</v>
      </c>
      <c r="ND21" s="509">
        <f t="shared" si="118"/>
        <v>4.2940522574060687</v>
      </c>
      <c r="NH21" s="283">
        <f t="shared" si="86"/>
        <v>15</v>
      </c>
      <c r="NI21" s="285" t="str">
        <f t="shared" si="58"/>
        <v>Total Operating Expenses</v>
      </c>
      <c r="NJ21" s="28">
        <v>117795882.44673061</v>
      </c>
      <c r="NK21" s="511">
        <f t="shared" si="119"/>
        <v>94052514.50930278</v>
      </c>
      <c r="NL21" s="511">
        <f t="shared" si="77"/>
        <v>-23743367.937427834</v>
      </c>
      <c r="NM21" s="466">
        <f t="shared" si="78"/>
        <v>-0.20156364929109474</v>
      </c>
    </row>
    <row r="22" spans="2:377" x14ac:dyDescent="0.3">
      <c r="B22" s="265">
        <f t="shared" si="79"/>
        <v>17</v>
      </c>
      <c r="C22" s="285" t="s">
        <v>238</v>
      </c>
      <c r="D22" s="285"/>
      <c r="E22" s="297"/>
      <c r="F22" s="510">
        <f>F12-F21</f>
        <v>5345041.1556581408</v>
      </c>
      <c r="G22" s="512">
        <f t="shared" si="108"/>
        <v>0.2571723426312264</v>
      </c>
      <c r="H22" s="510">
        <f>H12-H21</f>
        <v>3158874.550727129</v>
      </c>
      <c r="I22" s="513">
        <f t="shared" si="109"/>
        <v>0.15162151867461782</v>
      </c>
      <c r="J22" s="497">
        <f t="shared" si="59"/>
        <v>-2186166.6049310118</v>
      </c>
      <c r="K22" s="510">
        <f>K12-K21</f>
        <v>2982698.3570908159</v>
      </c>
      <c r="L22" s="513">
        <f t="shared" si="110"/>
        <v>0.14119313603862413</v>
      </c>
      <c r="M22" s="497">
        <f t="shared" si="60"/>
        <v>-176176.19363631308</v>
      </c>
      <c r="N22" s="510">
        <f>N12-N21</f>
        <v>42586176.583785698</v>
      </c>
      <c r="O22" s="513">
        <f t="shared" si="111"/>
        <v>1.9443102467591227</v>
      </c>
      <c r="P22" s="497">
        <f t="shared" si="61"/>
        <v>39603478.226694882</v>
      </c>
      <c r="Q22" s="510">
        <f t="shared" si="62"/>
        <v>37241135.428127557</v>
      </c>
      <c r="R22" s="514">
        <f t="shared" si="63"/>
        <v>6.5603396028754783</v>
      </c>
      <c r="V22" s="515">
        <v>11</v>
      </c>
      <c r="W22" s="516" t="s">
        <v>243</v>
      </c>
      <c r="X22" s="20">
        <f>X18-X7</f>
        <v>2606967.1224720138</v>
      </c>
      <c r="Y22" s="20">
        <f>Y18-Y7</f>
        <v>11275587.435466332</v>
      </c>
      <c r="Z22" s="20">
        <f>Z18-Z7</f>
        <v>23358580.870189305</v>
      </c>
      <c r="AA22" s="20">
        <f>AA18-AA7</f>
        <v>37241135.428127654</v>
      </c>
      <c r="AB22" s="20"/>
      <c r="AL22" s="464"/>
      <c r="AN22" s="338">
        <v>18</v>
      </c>
      <c r="AO22" s="492"/>
      <c r="AP22" s="493" t="s">
        <v>244</v>
      </c>
      <c r="AQ22" s="475"/>
      <c r="AR22" s="352"/>
      <c r="AS22" s="517"/>
      <c r="AT22" s="349">
        <v>1025480397</v>
      </c>
      <c r="AU22" s="351"/>
      <c r="AV22" s="517"/>
      <c r="AW22" s="349">
        <v>1079178438.6666701</v>
      </c>
      <c r="AX22" s="351"/>
      <c r="AY22" s="350"/>
      <c r="AZ22" s="517"/>
      <c r="BA22" s="349">
        <v>1290136807.9999998</v>
      </c>
      <c r="BB22" s="351"/>
      <c r="BC22" s="350"/>
      <c r="BD22" s="517"/>
      <c r="BE22" s="349">
        <v>1470610844</v>
      </c>
      <c r="BF22" s="351"/>
      <c r="BG22" s="350"/>
      <c r="BH22" s="517"/>
      <c r="BI22" s="349">
        <v>1519641411.6666667</v>
      </c>
      <c r="BJ22" s="351"/>
      <c r="BK22" s="350"/>
      <c r="BL22" s="517"/>
      <c r="BM22" s="349">
        <v>1682130877</v>
      </c>
      <c r="BN22" s="351"/>
      <c r="BO22" s="350"/>
      <c r="BP22" s="517"/>
      <c r="BQ22" s="349">
        <v>1854790824</v>
      </c>
      <c r="BR22" s="351"/>
      <c r="BS22" s="350"/>
      <c r="BT22" s="959">
        <v>1962055288</v>
      </c>
      <c r="BU22" s="959"/>
      <c r="BV22" s="960"/>
      <c r="BW22" s="519"/>
      <c r="BZ22" s="520"/>
      <c r="CA22" s="352"/>
      <c r="CC22" s="521">
        <f>F24</f>
        <v>2078388796</v>
      </c>
      <c r="CD22" s="16"/>
      <c r="CE22" s="352"/>
      <c r="CF22" s="520">
        <f>CC22/AT22-1</f>
        <v>1.0267464907961572</v>
      </c>
      <c r="CG22" s="352">
        <f t="shared" si="105"/>
        <v>4.0026517835208386E-2</v>
      </c>
      <c r="CZ22" s="347"/>
      <c r="DB22" s="347"/>
      <c r="DC22" s="103"/>
      <c r="DD22" s="103"/>
      <c r="EO22" s="106"/>
      <c r="FE22" s="106"/>
      <c r="FG22" s="338">
        <f>FG21+1</f>
        <v>17</v>
      </c>
      <c r="FH22" s="97"/>
      <c r="FI22" s="286" t="s">
        <v>245</v>
      </c>
      <c r="FJ22" s="17">
        <v>400</v>
      </c>
      <c r="FK22" s="17">
        <v>2406.81</v>
      </c>
      <c r="FL22" s="17">
        <v>2800</v>
      </c>
      <c r="FM22" s="290">
        <f>FJ22+FL22+FK22</f>
        <v>5606.8099999999995</v>
      </c>
      <c r="FN22" s="17">
        <v>0</v>
      </c>
      <c r="FO22" s="17">
        <v>0</v>
      </c>
      <c r="FP22" s="17">
        <v>0</v>
      </c>
      <c r="FQ22" s="17">
        <v>0</v>
      </c>
      <c r="FR22" s="17">
        <v>0</v>
      </c>
      <c r="FS22" s="103"/>
      <c r="FT22" s="408"/>
      <c r="HW22" s="283">
        <v>17</v>
      </c>
      <c r="HX22" s="306">
        <v>17</v>
      </c>
      <c r="HY22" s="306">
        <v>10</v>
      </c>
      <c r="HZ22" s="306">
        <v>10</v>
      </c>
      <c r="IA22" s="307">
        <v>183774613</v>
      </c>
      <c r="IB22" s="307">
        <v>183737150</v>
      </c>
      <c r="IC22" s="309">
        <f t="shared" si="5"/>
        <v>1</v>
      </c>
      <c r="ID22" s="309">
        <f t="shared" si="6"/>
        <v>0.99979614703364927</v>
      </c>
      <c r="IE22" s="310">
        <v>0</v>
      </c>
      <c r="IF22" s="310">
        <v>0.2</v>
      </c>
      <c r="IG22" s="310">
        <v>0.8</v>
      </c>
      <c r="IK22" s="410">
        <v>17</v>
      </c>
      <c r="IL22" s="317">
        <v>17</v>
      </c>
      <c r="IM22" s="313">
        <f t="shared" si="7"/>
        <v>0.99979614703364927</v>
      </c>
      <c r="IN22" s="17">
        <v>7831.14</v>
      </c>
      <c r="IO22" s="290">
        <f t="shared" si="29"/>
        <v>7829.5435988810923</v>
      </c>
      <c r="IP22" s="17">
        <v>20395998</v>
      </c>
      <c r="IQ22" s="290">
        <v>20373895</v>
      </c>
      <c r="IR22" s="17">
        <v>8616753.1788999997</v>
      </c>
      <c r="IS22" s="290">
        <v>8578324</v>
      </c>
      <c r="IT22" s="17">
        <v>225000</v>
      </c>
      <c r="IU22" s="17">
        <v>225000</v>
      </c>
      <c r="IV22" s="17">
        <f t="shared" si="30"/>
        <v>8849584.3189000003</v>
      </c>
      <c r="IW22" s="17">
        <f t="shared" si="30"/>
        <v>8811153.543598881</v>
      </c>
      <c r="IX22" s="314"/>
      <c r="IY22" s="315"/>
      <c r="IZ22" s="314"/>
      <c r="JA22" s="316">
        <v>17</v>
      </c>
      <c r="JB22" s="317">
        <v>17</v>
      </c>
      <c r="JC22" s="318">
        <f t="shared" si="8"/>
        <v>1</v>
      </c>
      <c r="JD22" s="319">
        <f t="shared" si="8"/>
        <v>0.99979614703364927</v>
      </c>
      <c r="JE22" s="17">
        <v>3071493.5962138455</v>
      </c>
      <c r="JF22" s="290">
        <f t="shared" si="70"/>
        <v>3070867.4631331302</v>
      </c>
      <c r="JG22" s="17">
        <v>140453.43700000003</v>
      </c>
      <c r="JH22" s="290">
        <f t="shared" si="31"/>
        <v>140424.80515023344</v>
      </c>
      <c r="JI22" s="17">
        <v>1584888.0867861542</v>
      </c>
      <c r="JJ22" s="290">
        <f t="shared" si="32"/>
        <v>1584888.0867861542</v>
      </c>
      <c r="JK22" s="17">
        <v>1875089.1032839823</v>
      </c>
      <c r="JL22" s="290">
        <v>1875089.1032839823</v>
      </c>
      <c r="JM22" s="17">
        <v>122276.40949999998</v>
      </c>
      <c r="JN22" s="290">
        <f t="shared" si="33"/>
        <v>122251.48309120869</v>
      </c>
      <c r="JO22" s="17">
        <v>66937.261999999988</v>
      </c>
      <c r="JP22" s="290">
        <f t="shared" si="34"/>
        <v>66923.616640581895</v>
      </c>
      <c r="JQ22" s="17">
        <v>216514.44469999999</v>
      </c>
      <c r="JR22" s="290">
        <f t="shared" si="35"/>
        <v>216470.30758819013</v>
      </c>
      <c r="JS22" s="17">
        <v>796380.27040000004</v>
      </c>
      <c r="JT22" s="290">
        <f t="shared" si="36"/>
        <v>796217.9259195358</v>
      </c>
      <c r="JU22" s="17">
        <f t="shared" si="37"/>
        <v>7874032.6098839818</v>
      </c>
      <c r="JV22" s="17">
        <f t="shared" si="37"/>
        <v>7873132.7915930171</v>
      </c>
      <c r="JW22" s="320">
        <f t="shared" si="9"/>
        <v>4.2849977762216396</v>
      </c>
      <c r="KA22" s="283">
        <v>17</v>
      </c>
      <c r="KB22" s="306">
        <v>17</v>
      </c>
      <c r="KC22" s="97">
        <f t="shared" si="10"/>
        <v>10</v>
      </c>
      <c r="KD22" s="390">
        <f t="shared" ref="KD22:KD25" si="124">KC22</f>
        <v>10</v>
      </c>
      <c r="KE22" s="289">
        <f t="shared" si="12"/>
        <v>183737150</v>
      </c>
      <c r="KF22" s="289">
        <f t="shared" si="13"/>
        <v>190504092.86624244</v>
      </c>
      <c r="KG22" s="321">
        <f t="shared" si="38"/>
        <v>1</v>
      </c>
      <c r="KH22" s="321">
        <f t="shared" si="39"/>
        <v>1.036829475510219</v>
      </c>
      <c r="KI22" s="321">
        <f t="shared" si="40"/>
        <v>0.96387733993107927</v>
      </c>
      <c r="KJ22" s="306" t="s">
        <v>256</v>
      </c>
      <c r="KK22" s="322"/>
      <c r="KL22" s="323"/>
      <c r="KM22" s="322"/>
      <c r="KN22" s="283">
        <v>17</v>
      </c>
      <c r="KO22" s="306">
        <v>17</v>
      </c>
      <c r="KP22" s="324" t="str">
        <f t="shared" si="14"/>
        <v>Q3</v>
      </c>
      <c r="KQ22" s="325">
        <f t="shared" si="15"/>
        <v>0.96387733993107927</v>
      </c>
      <c r="KR22" s="17">
        <f t="shared" si="41"/>
        <v>7829.5435988810923</v>
      </c>
      <c r="KS22" s="17">
        <f t="shared" si="42"/>
        <v>7546.7196569639163</v>
      </c>
      <c r="KT22" s="17">
        <f t="shared" si="16"/>
        <v>20373895</v>
      </c>
      <c r="KU22" s="17">
        <f t="shared" si="43"/>
        <v>20862698.32464955</v>
      </c>
      <c r="KV22" s="17">
        <f t="shared" si="17"/>
        <v>8578324</v>
      </c>
      <c r="KW22" s="17">
        <f t="shared" si="18"/>
        <v>11452530.946335092</v>
      </c>
      <c r="KX22" s="17">
        <f t="shared" si="44"/>
        <v>225000</v>
      </c>
      <c r="KY22" s="17">
        <f t="shared" si="45"/>
        <v>413914.23621994059</v>
      </c>
      <c r="KZ22" s="17">
        <f t="shared" si="46"/>
        <v>8811153.543598881</v>
      </c>
      <c r="LA22" s="17">
        <f t="shared" si="46"/>
        <v>11873991.902211998</v>
      </c>
      <c r="LB22" s="326"/>
      <c r="LC22" s="323"/>
      <c r="LD22" s="322"/>
      <c r="LE22" s="364">
        <f t="shared" si="71"/>
        <v>17</v>
      </c>
      <c r="LF22" s="365">
        <v>16</v>
      </c>
      <c r="LG22" s="411">
        <f t="shared" si="72"/>
        <v>1</v>
      </c>
      <c r="LH22" s="411">
        <f t="shared" si="72"/>
        <v>1.036829475510219</v>
      </c>
      <c r="LI22" s="412">
        <v>113.92083696213525</v>
      </c>
      <c r="LJ22" s="343">
        <f t="shared" si="73"/>
        <v>2534784.6604806273</v>
      </c>
      <c r="LK22" s="412">
        <v>113.92083696213525</v>
      </c>
      <c r="LL22" s="343">
        <f t="shared" si="47"/>
        <v>105037.3541088488</v>
      </c>
      <c r="LM22" s="412">
        <v>113.92083696213525</v>
      </c>
      <c r="LN22" s="343">
        <f t="shared" si="48"/>
        <v>1323753.7962013045</v>
      </c>
      <c r="LO22" s="412">
        <v>118.41952153062</v>
      </c>
      <c r="LP22" s="343">
        <f t="shared" si="74"/>
        <v>1842397.60847645</v>
      </c>
      <c r="LQ22" s="412">
        <v>118.887537452888</v>
      </c>
      <c r="LR22" s="343">
        <f t="shared" si="49"/>
        <v>120380.77401526376</v>
      </c>
      <c r="LS22" s="412">
        <v>168.49721907230401</v>
      </c>
      <c r="LT22" s="343">
        <f t="shared" si="50"/>
        <v>49984.500524737035</v>
      </c>
      <c r="LU22" s="412">
        <v>107.679074448752</v>
      </c>
      <c r="LV22" s="343">
        <f t="shared" si="51"/>
        <v>592805.27513063501</v>
      </c>
      <c r="LW22" s="412">
        <v>115.99271402550001</v>
      </c>
      <c r="LX22" s="343">
        <f t="shared" si="52"/>
        <v>781328.39516303677</v>
      </c>
      <c r="LY22" s="20">
        <f t="shared" si="53"/>
        <v>7859568.3814669428</v>
      </c>
      <c r="LZ22" s="20">
        <f t="shared" si="75"/>
        <v>7350472.3641009033</v>
      </c>
      <c r="MA22" s="103"/>
      <c r="MB22" s="335"/>
      <c r="MD22" s="283">
        <v>17</v>
      </c>
      <c r="ME22" s="336">
        <v>17</v>
      </c>
      <c r="MF22" s="17">
        <f t="shared" si="19"/>
        <v>8849584.3189000003</v>
      </c>
      <c r="MG22" s="17">
        <f t="shared" si="19"/>
        <v>8811153.543598881</v>
      </c>
      <c r="MH22" s="290">
        <f t="shared" si="20"/>
        <v>11873991.902211998</v>
      </c>
      <c r="MI22" s="17">
        <f t="shared" si="21"/>
        <v>7874032.6098839818</v>
      </c>
      <c r="MJ22" s="17">
        <f t="shared" si="21"/>
        <v>7873132.7915930171</v>
      </c>
      <c r="MK22" s="290">
        <f t="shared" si="54"/>
        <v>7588734.2920848299</v>
      </c>
      <c r="ML22" s="17">
        <f t="shared" si="55"/>
        <v>975551.70901601855</v>
      </c>
      <c r="MM22" s="17">
        <f t="shared" si="55"/>
        <v>938020.75200586393</v>
      </c>
      <c r="MN22" s="17">
        <f t="shared" si="55"/>
        <v>4285257.6101271678</v>
      </c>
      <c r="MX22" s="338">
        <f t="shared" si="85"/>
        <v>16</v>
      </c>
      <c r="MZ22" s="20"/>
      <c r="NA22" s="414"/>
      <c r="NC22" s="15"/>
      <c r="ND22" s="414"/>
      <c r="NH22" s="338">
        <f t="shared" si="86"/>
        <v>16</v>
      </c>
      <c r="NI22" s="96"/>
      <c r="NJ22" s="20"/>
      <c r="NK22" s="20"/>
      <c r="NL22" s="20"/>
      <c r="NM22" s="352"/>
    </row>
    <row r="23" spans="2:377" ht="17.25" thickBot="1" x14ac:dyDescent="0.35">
      <c r="B23" s="899" t="s">
        <v>246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V23" s="522">
        <v>12</v>
      </c>
      <c r="W23" s="523" t="s">
        <v>247</v>
      </c>
      <c r="X23" s="524">
        <f>X19/X8-1</f>
        <v>-10.769234667340923</v>
      </c>
      <c r="Y23" s="524">
        <f>Y19/Y8-1</f>
        <v>6.3296438665448553</v>
      </c>
      <c r="Z23" s="524">
        <f>Z19/Z8-1</f>
        <v>5.6337275227729462</v>
      </c>
      <c r="AA23" s="524">
        <f>AA19/AA8-1</f>
        <v>6.5603396028756169</v>
      </c>
      <c r="AB23" s="344"/>
      <c r="AL23" s="464"/>
      <c r="AN23" s="467">
        <v>19</v>
      </c>
      <c r="AO23" s="525"/>
      <c r="AP23" s="526" t="s">
        <v>248</v>
      </c>
      <c r="AQ23" s="527"/>
      <c r="AR23" s="528"/>
      <c r="AS23" s="529"/>
      <c r="AT23" s="530">
        <v>158</v>
      </c>
      <c r="AU23" s="531"/>
      <c r="AV23" s="529"/>
      <c r="AW23" s="530">
        <v>165</v>
      </c>
      <c r="AX23" s="531"/>
      <c r="AY23" s="532"/>
      <c r="AZ23" s="529"/>
      <c r="BA23" s="530">
        <v>184</v>
      </c>
      <c r="BB23" s="531"/>
      <c r="BC23" s="532"/>
      <c r="BD23" s="529"/>
      <c r="BE23" s="530">
        <v>190</v>
      </c>
      <c r="BF23" s="531"/>
      <c r="BG23" s="532"/>
      <c r="BH23" s="529"/>
      <c r="BI23" s="530">
        <v>191</v>
      </c>
      <c r="BJ23" s="531"/>
      <c r="BK23" s="532"/>
      <c r="BL23" s="529"/>
      <c r="BM23" s="530">
        <v>195</v>
      </c>
      <c r="BN23" s="531"/>
      <c r="BO23" s="532"/>
      <c r="BP23" s="529"/>
      <c r="BQ23" s="530">
        <v>189</v>
      </c>
      <c r="BR23" s="531"/>
      <c r="BS23" s="532"/>
      <c r="BT23" s="961">
        <v>179</v>
      </c>
      <c r="BU23" s="961"/>
      <c r="BV23" s="962"/>
      <c r="BW23" s="533"/>
      <c r="BX23" s="901"/>
      <c r="BY23" s="901"/>
      <c r="BZ23" s="534"/>
      <c r="CA23" s="535"/>
      <c r="CB23" s="97"/>
      <c r="CC23" s="536">
        <f>F25</f>
        <v>205</v>
      </c>
      <c r="CD23" s="535"/>
      <c r="CE23" s="528"/>
      <c r="CF23" s="534">
        <f>CC23/AT23-1</f>
        <v>0.29746835443037978</v>
      </c>
      <c r="CG23" s="528">
        <f t="shared" si="105"/>
        <v>1.4572657766658947E-2</v>
      </c>
      <c r="DA23" s="518"/>
      <c r="DX23" s="493"/>
      <c r="DZ23" s="537"/>
      <c r="EO23" s="538"/>
      <c r="FE23" s="538"/>
      <c r="FG23" s="338">
        <f t="shared" si="84"/>
        <v>18</v>
      </c>
      <c r="FH23" s="360"/>
      <c r="FI23" s="361" t="s">
        <v>249</v>
      </c>
      <c r="FJ23" s="20">
        <v>184467.98630000005</v>
      </c>
      <c r="FK23" s="20">
        <v>403622.42860000004</v>
      </c>
      <c r="FL23" s="20">
        <v>584954.08510000003</v>
      </c>
      <c r="FM23" s="343">
        <f>FJ23+FL23+FK23</f>
        <v>1173044.5</v>
      </c>
      <c r="FN23" s="20">
        <v>186722.60478181817</v>
      </c>
      <c r="FO23" s="20">
        <v>404621.59053000004</v>
      </c>
      <c r="FP23" s="20">
        <v>584954.08509999991</v>
      </c>
      <c r="FQ23" s="20">
        <v>1176298.2804118181</v>
      </c>
      <c r="FR23" s="20">
        <v>1176298.2804118181</v>
      </c>
      <c r="FS23" s="103"/>
      <c r="FT23" s="408"/>
      <c r="HW23" s="338">
        <v>18</v>
      </c>
      <c r="HX23" s="322">
        <v>18</v>
      </c>
      <c r="HY23" s="322">
        <v>10</v>
      </c>
      <c r="HZ23" s="322">
        <v>10</v>
      </c>
      <c r="IA23" s="347">
        <v>213390219</v>
      </c>
      <c r="IB23" s="347">
        <v>213547750</v>
      </c>
      <c r="IC23" s="342">
        <f t="shared" si="5"/>
        <v>1</v>
      </c>
      <c r="ID23" s="342">
        <f t="shared" si="6"/>
        <v>1.0007382297123937</v>
      </c>
      <c r="IE23" s="344">
        <v>0</v>
      </c>
      <c r="IF23" s="344">
        <v>0.1</v>
      </c>
      <c r="IG23" s="344">
        <v>0.9</v>
      </c>
      <c r="IK23" s="364">
        <v>18</v>
      </c>
      <c r="IL23" s="365">
        <v>18</v>
      </c>
      <c r="IM23" s="341">
        <f t="shared" si="7"/>
        <v>1.0007382297123937</v>
      </c>
      <c r="IN23" s="20">
        <v>28794.560000000001</v>
      </c>
      <c r="IO23" s="343">
        <f t="shared" si="29"/>
        <v>28815.816999747305</v>
      </c>
      <c r="IP23" s="20">
        <v>23950319.75</v>
      </c>
      <c r="IQ23" s="343">
        <v>23993455</v>
      </c>
      <c r="IR23" s="20">
        <v>10389360.884500001</v>
      </c>
      <c r="IS23" s="343">
        <v>10106699</v>
      </c>
      <c r="IT23" s="20">
        <v>225000</v>
      </c>
      <c r="IU23" s="20">
        <v>225000</v>
      </c>
      <c r="IV23" s="20">
        <f t="shared" si="30"/>
        <v>10643155.444500001</v>
      </c>
      <c r="IW23" s="20">
        <f t="shared" si="30"/>
        <v>10360514.816999746</v>
      </c>
      <c r="IX23" s="314"/>
      <c r="IY23" s="315"/>
      <c r="IZ23" s="314"/>
      <c r="JA23" s="366">
        <v>18</v>
      </c>
      <c r="JB23" s="365">
        <v>18</v>
      </c>
      <c r="JC23" s="367">
        <f t="shared" si="8"/>
        <v>1</v>
      </c>
      <c r="JD23" s="368">
        <f t="shared" si="8"/>
        <v>1.0007382297123937</v>
      </c>
      <c r="JE23" s="20">
        <v>3366026.4962374517</v>
      </c>
      <c r="JF23" s="343">
        <f t="shared" si="70"/>
        <v>3368511.3970096787</v>
      </c>
      <c r="JG23" s="20">
        <v>315994.95600000006</v>
      </c>
      <c r="JH23" s="343">
        <f t="shared" si="31"/>
        <v>316228.23286548577</v>
      </c>
      <c r="JI23" s="20">
        <v>1356438.8177625476</v>
      </c>
      <c r="JJ23" s="343">
        <f t="shared" si="32"/>
        <v>1356438.8177625476</v>
      </c>
      <c r="JK23" s="20">
        <v>2031537.2144496564</v>
      </c>
      <c r="JL23" s="343">
        <v>2031537.2144496564</v>
      </c>
      <c r="JM23" s="20">
        <v>178113.86633333337</v>
      </c>
      <c r="JN23" s="343">
        <f t="shared" si="33"/>
        <v>178245.35528164994</v>
      </c>
      <c r="JO23" s="20">
        <v>93376.38466666668</v>
      </c>
      <c r="JP23" s="343">
        <f t="shared" si="34"/>
        <v>93445.317888263511</v>
      </c>
      <c r="JQ23" s="20">
        <v>626429.43999999994</v>
      </c>
      <c r="JR23" s="343">
        <f t="shared" si="35"/>
        <v>626891.88882532611</v>
      </c>
      <c r="JS23" s="20">
        <v>1182378.5</v>
      </c>
      <c r="JT23" s="343">
        <f t="shared" si="36"/>
        <v>1183251.3669399954</v>
      </c>
      <c r="JU23" s="20">
        <f t="shared" si="37"/>
        <v>9150295.6754496563</v>
      </c>
      <c r="JV23" s="20">
        <f t="shared" si="37"/>
        <v>9154549.5910226032</v>
      </c>
      <c r="JW23" s="369">
        <f t="shared" si="9"/>
        <v>4.2868864649815341</v>
      </c>
      <c r="KA23" s="338">
        <v>18</v>
      </c>
      <c r="KB23" s="322">
        <v>18</v>
      </c>
      <c r="KC23" s="518">
        <f t="shared" si="10"/>
        <v>10</v>
      </c>
      <c r="KD23" s="96">
        <f t="shared" si="124"/>
        <v>10</v>
      </c>
      <c r="KE23" s="370">
        <f t="shared" si="12"/>
        <v>213547750</v>
      </c>
      <c r="KF23" s="370">
        <f t="shared" si="13"/>
        <v>221412601.62888736</v>
      </c>
      <c r="KG23" s="371">
        <f t="shared" si="38"/>
        <v>1</v>
      </c>
      <c r="KH23" s="371">
        <f t="shared" si="39"/>
        <v>1.036829475510219</v>
      </c>
      <c r="KI23" s="371">
        <f t="shared" si="40"/>
        <v>0.94747849882758384</v>
      </c>
      <c r="KJ23" s="322" t="s">
        <v>441</v>
      </c>
      <c r="KK23" s="322"/>
      <c r="KL23" s="323"/>
      <c r="KM23" s="322"/>
      <c r="KN23" s="338">
        <v>18</v>
      </c>
      <c r="KO23" s="322">
        <v>18</v>
      </c>
      <c r="KP23" s="437" t="str">
        <f t="shared" si="14"/>
        <v>Q2</v>
      </c>
      <c r="KQ23" s="373">
        <f t="shared" si="15"/>
        <v>0.94747849882758384</v>
      </c>
      <c r="KR23" s="358">
        <f t="shared" si="41"/>
        <v>28815.816999747305</v>
      </c>
      <c r="KS23" s="358">
        <f t="shared" si="42"/>
        <v>27302.367033410948</v>
      </c>
      <c r="KT23" s="358">
        <f t="shared" si="16"/>
        <v>23993455</v>
      </c>
      <c r="KU23" s="358">
        <f t="shared" si="43"/>
        <v>24247585.674196433</v>
      </c>
      <c r="KV23" s="358">
        <f t="shared" si="17"/>
        <v>10106699</v>
      </c>
      <c r="KW23" s="358">
        <f t="shared" si="18"/>
        <v>13310657.182802876</v>
      </c>
      <c r="KX23" s="358">
        <f t="shared" si="44"/>
        <v>225000</v>
      </c>
      <c r="KY23" s="358">
        <f t="shared" si="45"/>
        <v>481070.12565361342</v>
      </c>
      <c r="KZ23" s="358">
        <f t="shared" si="46"/>
        <v>10360514.816999746</v>
      </c>
      <c r="LA23" s="358">
        <f t="shared" si="46"/>
        <v>13819029.675489901</v>
      </c>
      <c r="LB23" s="326"/>
      <c r="LC23" s="323"/>
      <c r="LD23" s="322"/>
      <c r="LE23" s="374">
        <f t="shared" si="71"/>
        <v>18</v>
      </c>
      <c r="LF23" s="375">
        <v>17</v>
      </c>
      <c r="LG23" s="376">
        <f t="shared" si="72"/>
        <v>1</v>
      </c>
      <c r="LH23" s="376">
        <f t="shared" si="72"/>
        <v>1.036829475510219</v>
      </c>
      <c r="LI23" s="377">
        <v>106.45762205358784</v>
      </c>
      <c r="LJ23" s="290">
        <f t="shared" si="73"/>
        <v>2808295.8377340077</v>
      </c>
      <c r="LK23" s="377">
        <v>106.45762205358784</v>
      </c>
      <c r="LL23" s="290">
        <f t="shared" si="47"/>
        <v>128417.91466169614</v>
      </c>
      <c r="LM23" s="377">
        <v>106.45762205358784</v>
      </c>
      <c r="LN23" s="290">
        <f t="shared" si="48"/>
        <v>1397890.1645183493</v>
      </c>
      <c r="LO23" s="377">
        <v>118.614283549666</v>
      </c>
      <c r="LP23" s="290">
        <f t="shared" si="74"/>
        <v>1961386.7649846177</v>
      </c>
      <c r="LQ23" s="377">
        <v>119.48337591187899</v>
      </c>
      <c r="LR23" s="290">
        <f t="shared" si="49"/>
        <v>132519.81211795771</v>
      </c>
      <c r="LS23" s="377">
        <v>157.07111615098</v>
      </c>
      <c r="LT23" s="290">
        <f t="shared" si="50"/>
        <v>63090.29563427098</v>
      </c>
      <c r="LU23" s="377">
        <v>112.15574935818501</v>
      </c>
      <c r="LV23" s="290">
        <f t="shared" si="51"/>
        <v>235953.18225702574</v>
      </c>
      <c r="LW23" s="377">
        <v>116.939890710382</v>
      </c>
      <c r="LX23" s="378">
        <f t="shared" si="52"/>
        <v>861180.3201769049</v>
      </c>
      <c r="LY23" s="379">
        <f t="shared" si="53"/>
        <v>7873132.7915930171</v>
      </c>
      <c r="LZ23" s="379">
        <f t="shared" si="75"/>
        <v>7588734.2920848299</v>
      </c>
      <c r="MA23" s="103"/>
      <c r="MB23" s="335"/>
      <c r="MD23" s="338">
        <v>18</v>
      </c>
      <c r="ME23" s="380">
        <v>18</v>
      </c>
      <c r="MF23" s="20">
        <f t="shared" si="19"/>
        <v>10643155.444500001</v>
      </c>
      <c r="MG23" s="20">
        <f t="shared" si="19"/>
        <v>10360514.816999746</v>
      </c>
      <c r="MH23" s="343">
        <f t="shared" si="20"/>
        <v>13819029.675489901</v>
      </c>
      <c r="MI23" s="20">
        <f t="shared" si="21"/>
        <v>9150295.6754496563</v>
      </c>
      <c r="MJ23" s="20">
        <f t="shared" si="21"/>
        <v>9154549.5910226032</v>
      </c>
      <c r="MK23" s="343">
        <f t="shared" si="54"/>
        <v>8673738.903944768</v>
      </c>
      <c r="ML23" s="20">
        <f t="shared" si="55"/>
        <v>1492859.7690503448</v>
      </c>
      <c r="MM23" s="20">
        <f t="shared" si="55"/>
        <v>1205965.2259771433</v>
      </c>
      <c r="MN23" s="20">
        <f t="shared" si="55"/>
        <v>5145290.7715451326</v>
      </c>
      <c r="MX23" s="283">
        <f>MX22+1</f>
        <v>17</v>
      </c>
      <c r="MY23" s="285" t="s">
        <v>250</v>
      </c>
      <c r="MZ23" s="28">
        <v>18998322.143907189</v>
      </c>
      <c r="NA23" s="509">
        <f>MZ23/$MZ$34*100</f>
        <v>0.86738550813442938</v>
      </c>
      <c r="NB23" s="285"/>
      <c r="NC23" s="539">
        <v>18998322.143907189</v>
      </c>
      <c r="ND23" s="509">
        <f>NC23/$ND$34*100</f>
        <v>0.86738550813442938</v>
      </c>
      <c r="NH23" s="283">
        <f>NH22+1</f>
        <v>17</v>
      </c>
      <c r="NI23" s="285" t="str">
        <f>MY23</f>
        <v>Total Return</v>
      </c>
      <c r="NJ23" s="28">
        <v>20413939.926346004</v>
      </c>
      <c r="NK23" s="28">
        <f>MZ23</f>
        <v>18998322.143907189</v>
      </c>
      <c r="NL23" s="28">
        <f t="shared" si="77"/>
        <v>-1415617.7824388146</v>
      </c>
      <c r="NM23" s="395">
        <f>NL23/NJ23</f>
        <v>-6.9345642612175712E-2</v>
      </c>
    </row>
    <row r="24" spans="2:377" x14ac:dyDescent="0.3">
      <c r="B24" s="540">
        <f>B22+1</f>
        <v>18</v>
      </c>
      <c r="C24" s="541" t="s">
        <v>244</v>
      </c>
      <c r="D24" s="541"/>
      <c r="E24" s="542"/>
      <c r="F24" s="963">
        <f>HN6</f>
        <v>2078388796</v>
      </c>
      <c r="G24" s="964"/>
      <c r="H24" s="963">
        <f>HR6</f>
        <v>2083394612.0181818</v>
      </c>
      <c r="I24" s="965"/>
      <c r="J24" s="964"/>
      <c r="K24" s="963">
        <f>IB26</f>
        <v>2112495296</v>
      </c>
      <c r="L24" s="965"/>
      <c r="M24" s="964"/>
      <c r="N24" s="963">
        <f>KF26</f>
        <v>2190297389.769485</v>
      </c>
      <c r="O24" s="965"/>
      <c r="P24" s="964"/>
      <c r="Q24" s="902">
        <f t="shared" ref="Q24" si="125">N24-F24</f>
        <v>111908593.769485</v>
      </c>
      <c r="R24" s="543">
        <f>N24/F24-1</f>
        <v>5.3843916973022932E-2</v>
      </c>
      <c r="AL24" s="464"/>
      <c r="DX24" s="493"/>
      <c r="DY24" s="280"/>
      <c r="FG24" s="483">
        <f t="shared" si="84"/>
        <v>19</v>
      </c>
      <c r="FH24" s="495"/>
      <c r="FI24" s="496" t="s">
        <v>239</v>
      </c>
      <c r="FJ24" s="28">
        <f>SUM(FJ22:FJ23)</f>
        <v>184867.98630000005</v>
      </c>
      <c r="FK24" s="28">
        <f>SUM(FK22:FK23)</f>
        <v>406029.23860000004</v>
      </c>
      <c r="FL24" s="28">
        <f>SUM(FL22:FL23)</f>
        <v>587754.08510000003</v>
      </c>
      <c r="FM24" s="497">
        <f>FJ24+FL24+FK24</f>
        <v>1178651.31</v>
      </c>
      <c r="FN24" s="28">
        <v>186722.60478181817</v>
      </c>
      <c r="FO24" s="28">
        <v>404621.59053000004</v>
      </c>
      <c r="FP24" s="28">
        <v>584954.08509999991</v>
      </c>
      <c r="FQ24" s="28">
        <v>1176298.2804118181</v>
      </c>
      <c r="FR24" s="28">
        <v>1176298.2804118181</v>
      </c>
      <c r="FS24" s="103"/>
      <c r="FT24" s="408"/>
      <c r="HW24" s="283">
        <v>19</v>
      </c>
      <c r="HX24" s="306">
        <v>19</v>
      </c>
      <c r="HY24" s="306">
        <v>10</v>
      </c>
      <c r="HZ24" s="306">
        <v>10</v>
      </c>
      <c r="IA24" s="307">
        <v>249773354</v>
      </c>
      <c r="IB24" s="307">
        <v>247985580</v>
      </c>
      <c r="IC24" s="309">
        <f t="shared" si="5"/>
        <v>1</v>
      </c>
      <c r="ID24" s="309">
        <f t="shared" si="6"/>
        <v>0.99284241504800386</v>
      </c>
      <c r="IE24" s="310">
        <v>0</v>
      </c>
      <c r="IF24" s="310">
        <v>0.1</v>
      </c>
      <c r="IG24" s="310">
        <v>0.9</v>
      </c>
      <c r="IK24" s="410">
        <v>19</v>
      </c>
      <c r="IL24" s="317">
        <v>19</v>
      </c>
      <c r="IM24" s="313">
        <f t="shared" si="7"/>
        <v>0.99284241504800386</v>
      </c>
      <c r="IN24" s="17">
        <v>15679.92</v>
      </c>
      <c r="IO24" s="290">
        <f t="shared" si="29"/>
        <v>15567.689640559496</v>
      </c>
      <c r="IP24" s="17">
        <v>26667177</v>
      </c>
      <c r="IQ24" s="290">
        <v>27520572</v>
      </c>
      <c r="IR24" s="17">
        <v>11438357.851000002</v>
      </c>
      <c r="IS24" s="290">
        <v>11555915</v>
      </c>
      <c r="IT24" s="17">
        <v>225000</v>
      </c>
      <c r="IU24" s="17">
        <v>225000</v>
      </c>
      <c r="IV24" s="17">
        <f t="shared" si="30"/>
        <v>11679037.771000002</v>
      </c>
      <c r="IW24" s="17">
        <f t="shared" si="30"/>
        <v>11796482.689640559</v>
      </c>
      <c r="IX24" s="314"/>
      <c r="IY24" s="315"/>
      <c r="IZ24" s="314"/>
      <c r="JA24" s="316">
        <v>19</v>
      </c>
      <c r="JB24" s="317">
        <v>19</v>
      </c>
      <c r="JC24" s="318">
        <f t="shared" si="8"/>
        <v>1</v>
      </c>
      <c r="JD24" s="319">
        <f t="shared" si="8"/>
        <v>0.99284241504800386</v>
      </c>
      <c r="JE24" s="17">
        <v>4734511.2557995431</v>
      </c>
      <c r="JF24" s="290">
        <f t="shared" si="70"/>
        <v>4700623.5892799757</v>
      </c>
      <c r="JG24" s="17">
        <v>230037.61</v>
      </c>
      <c r="JH24" s="290">
        <f t="shared" si="31"/>
        <v>228391.09626427083</v>
      </c>
      <c r="JI24" s="17">
        <v>1633641.354200457</v>
      </c>
      <c r="JJ24" s="290">
        <f t="shared" si="32"/>
        <v>1633641.354200457</v>
      </c>
      <c r="JK24" s="17">
        <v>2197514.8582347659</v>
      </c>
      <c r="JL24" s="290">
        <v>2197514.8582347659</v>
      </c>
      <c r="JM24" s="17">
        <v>105638.49200000003</v>
      </c>
      <c r="JN24" s="290">
        <f t="shared" si="33"/>
        <v>104882.37551930927</v>
      </c>
      <c r="JO24" s="17">
        <v>97911.6</v>
      </c>
      <c r="JP24" s="290">
        <f t="shared" si="34"/>
        <v>97210.789405214135</v>
      </c>
      <c r="JQ24" s="17">
        <v>945705.48</v>
      </c>
      <c r="JR24" s="290">
        <f t="shared" si="35"/>
        <v>938936.51268733165</v>
      </c>
      <c r="JS24" s="17">
        <v>1285143.97</v>
      </c>
      <c r="JT24" s="290">
        <f t="shared" si="36"/>
        <v>1275945.4428591793</v>
      </c>
      <c r="JU24" s="17">
        <f t="shared" si="37"/>
        <v>11230104.620234767</v>
      </c>
      <c r="JV24" s="17">
        <f t="shared" si="37"/>
        <v>11177146.018450504</v>
      </c>
      <c r="JW24" s="320">
        <f t="shared" si="9"/>
        <v>4.5071757875802714</v>
      </c>
      <c r="KA24" s="283">
        <v>19</v>
      </c>
      <c r="KB24" s="306">
        <v>19</v>
      </c>
      <c r="KC24" s="97">
        <f t="shared" si="10"/>
        <v>10</v>
      </c>
      <c r="KD24" s="390">
        <f t="shared" si="124"/>
        <v>10</v>
      </c>
      <c r="KE24" s="289">
        <f t="shared" si="12"/>
        <v>247985580</v>
      </c>
      <c r="KF24" s="289">
        <f t="shared" si="13"/>
        <v>257118758.84549746</v>
      </c>
      <c r="KG24" s="321">
        <f t="shared" si="38"/>
        <v>1</v>
      </c>
      <c r="KH24" s="321">
        <f t="shared" si="39"/>
        <v>1.036829475510219</v>
      </c>
      <c r="KI24" s="321">
        <f t="shared" si="40"/>
        <v>0.97126157768871002</v>
      </c>
      <c r="KJ24" s="306" t="s">
        <v>256</v>
      </c>
      <c r="KK24" s="322"/>
      <c r="KL24" s="323"/>
      <c r="KM24" s="322"/>
      <c r="KN24" s="283">
        <v>19</v>
      </c>
      <c r="KO24" s="306">
        <v>19</v>
      </c>
      <c r="KP24" s="324" t="str">
        <f t="shared" si="14"/>
        <v>Q3</v>
      </c>
      <c r="KQ24" s="325">
        <f t="shared" si="15"/>
        <v>0.97126157768871002</v>
      </c>
      <c r="KR24" s="17">
        <f t="shared" si="41"/>
        <v>15567.689640559496</v>
      </c>
      <c r="KS24" s="17">
        <f t="shared" si="42"/>
        <v>15120.298801258003</v>
      </c>
      <c r="KT24" s="17">
        <f t="shared" si="16"/>
        <v>27520572</v>
      </c>
      <c r="KU24" s="17">
        <f t="shared" si="43"/>
        <v>28157878.493289176</v>
      </c>
      <c r="KV24" s="17">
        <f t="shared" si="17"/>
        <v>11555915</v>
      </c>
      <c r="KW24" s="17">
        <f t="shared" si="18"/>
        <v>15457203.560601963</v>
      </c>
      <c r="KX24" s="17">
        <f t="shared" si="44"/>
        <v>225000</v>
      </c>
      <c r="KY24" s="17">
        <f t="shared" si="45"/>
        <v>558650.01682707598</v>
      </c>
      <c r="KZ24" s="17">
        <f t="shared" si="46"/>
        <v>11796482.689640559</v>
      </c>
      <c r="LA24" s="17">
        <f t="shared" si="46"/>
        <v>16030973.876230298</v>
      </c>
      <c r="LB24" s="326"/>
      <c r="LC24" s="323"/>
      <c r="LD24" s="322"/>
      <c r="LE24" s="364">
        <f t="shared" si="71"/>
        <v>19</v>
      </c>
      <c r="LF24" s="365">
        <v>18</v>
      </c>
      <c r="LG24" s="411">
        <f t="shared" si="72"/>
        <v>1</v>
      </c>
      <c r="LH24" s="411">
        <f t="shared" si="72"/>
        <v>1.036829475510219</v>
      </c>
      <c r="LI24" s="412">
        <v>113.92083696213525</v>
      </c>
      <c r="LJ24" s="343">
        <f t="shared" si="73"/>
        <v>2878680.0530921286</v>
      </c>
      <c r="LK24" s="412">
        <v>113.92083696213525</v>
      </c>
      <c r="LL24" s="343">
        <f t="shared" si="47"/>
        <v>270243.97393535997</v>
      </c>
      <c r="LM24" s="412">
        <v>113.92083696213525</v>
      </c>
      <c r="LN24" s="343">
        <f t="shared" si="48"/>
        <v>1118016.600411206</v>
      </c>
      <c r="LO24" s="412">
        <v>118.41952153062</v>
      </c>
      <c r="LP24" s="343">
        <f t="shared" si="74"/>
        <v>2128530.1231251913</v>
      </c>
      <c r="LQ24" s="412">
        <v>118.887537452888</v>
      </c>
      <c r="LR24" s="343">
        <f t="shared" si="49"/>
        <v>194185.16576098822</v>
      </c>
      <c r="LS24" s="412">
        <v>168.49721907230401</v>
      </c>
      <c r="LT24" s="343">
        <f t="shared" si="50"/>
        <v>82119.122084119808</v>
      </c>
      <c r="LU24" s="412">
        <v>107.679074448752</v>
      </c>
      <c r="LV24" s="343">
        <f t="shared" si="51"/>
        <v>711721.98750091938</v>
      </c>
      <c r="LW24" s="412">
        <v>115.99271402550001</v>
      </c>
      <c r="LX24" s="343">
        <f t="shared" si="52"/>
        <v>1290241.8780348545</v>
      </c>
      <c r="LY24" s="20">
        <f t="shared" si="53"/>
        <v>9154549.5910226032</v>
      </c>
      <c r="LZ24" s="20">
        <f t="shared" si="75"/>
        <v>8673738.903944768</v>
      </c>
      <c r="MA24" s="103"/>
      <c r="MB24" s="335"/>
      <c r="MD24" s="283">
        <v>19</v>
      </c>
      <c r="ME24" s="336">
        <v>19</v>
      </c>
      <c r="MF24" s="17">
        <f t="shared" si="19"/>
        <v>11679037.771000002</v>
      </c>
      <c r="MG24" s="17">
        <f t="shared" si="19"/>
        <v>11796482.689640559</v>
      </c>
      <c r="MH24" s="290">
        <f t="shared" si="20"/>
        <v>16030973.876230298</v>
      </c>
      <c r="MI24" s="17">
        <f t="shared" si="21"/>
        <v>11230104.620234767</v>
      </c>
      <c r="MJ24" s="17">
        <f t="shared" si="21"/>
        <v>11177146.018450504</v>
      </c>
      <c r="MK24" s="290">
        <f t="shared" si="54"/>
        <v>10855932.47593732</v>
      </c>
      <c r="ML24" s="17">
        <f t="shared" si="55"/>
        <v>448933.1507652346</v>
      </c>
      <c r="MM24" s="17">
        <f t="shared" si="55"/>
        <v>619336.67119005509</v>
      </c>
      <c r="MN24" s="17">
        <f t="shared" si="55"/>
        <v>5175041.4002929777</v>
      </c>
      <c r="MX24" s="446">
        <f t="shared" si="85"/>
        <v>18</v>
      </c>
      <c r="MY24" s="418" t="s">
        <v>251</v>
      </c>
      <c r="MZ24" s="544">
        <f>1-(MZ8+MZ21)/(MZ8+MZ21+MZ23)</f>
        <v>5.3832244637685878E-2</v>
      </c>
      <c r="NA24" s="472"/>
      <c r="NB24" s="453"/>
      <c r="NC24" s="545">
        <f>1-(NC8+NC21)/(NC8+NC21+NC23)</f>
        <v>5.3832244637685878E-2</v>
      </c>
      <c r="ND24" s="472"/>
      <c r="NH24" s="446">
        <f t="shared" si="86"/>
        <v>18</v>
      </c>
      <c r="NI24" s="546" t="str">
        <f>MY24</f>
        <v>Pre-Tax Return</v>
      </c>
      <c r="NJ24" s="29">
        <v>5.3900000000000059E-2</v>
      </c>
      <c r="NK24" s="547">
        <f>MZ24</f>
        <v>5.3832244637685878E-2</v>
      </c>
      <c r="NL24" s="547">
        <f t="shared" si="77"/>
        <v>-6.7755362314181333E-5</v>
      </c>
      <c r="NM24" s="548">
        <f t="shared" si="78"/>
        <v>-1.2570568147343463E-3</v>
      </c>
    </row>
    <row r="25" spans="2:377" ht="17.25" thickBot="1" x14ac:dyDescent="0.35">
      <c r="B25" s="549">
        <f>B24+1</f>
        <v>19</v>
      </c>
      <c r="C25" s="550" t="s">
        <v>252</v>
      </c>
      <c r="D25" s="550"/>
      <c r="E25" s="551"/>
      <c r="F25" s="955">
        <f>HY26</f>
        <v>205</v>
      </c>
      <c r="G25" s="956"/>
      <c r="H25" s="955">
        <f>HY26</f>
        <v>205</v>
      </c>
      <c r="I25" s="957"/>
      <c r="J25" s="956"/>
      <c r="K25" s="955">
        <f>KC26</f>
        <v>221</v>
      </c>
      <c r="L25" s="957"/>
      <c r="M25" s="956"/>
      <c r="N25" s="955">
        <f>KD26</f>
        <v>221</v>
      </c>
      <c r="O25" s="957"/>
      <c r="P25" s="956"/>
      <c r="Q25" s="900">
        <f>N25-F25</f>
        <v>16</v>
      </c>
      <c r="R25" s="552">
        <f>N25/F25-1</f>
        <v>7.8048780487804947E-2</v>
      </c>
      <c r="AL25" s="464"/>
      <c r="DX25" s="475"/>
      <c r="FG25" s="338">
        <f t="shared" si="84"/>
        <v>20</v>
      </c>
      <c r="FH25" s="474" t="s">
        <v>253</v>
      </c>
      <c r="FI25" s="476"/>
      <c r="FJ25" s="507"/>
      <c r="FK25" s="507"/>
      <c r="FL25" s="507"/>
      <c r="FM25" s="508"/>
      <c r="FN25" s="507"/>
      <c r="FO25" s="507"/>
      <c r="FP25" s="507"/>
      <c r="FQ25" s="507"/>
      <c r="FR25" s="507"/>
      <c r="FS25" s="103"/>
      <c r="FT25" s="408"/>
      <c r="HW25" s="456">
        <v>20</v>
      </c>
      <c r="HX25" s="553">
        <v>20</v>
      </c>
      <c r="HY25" s="553">
        <v>11</v>
      </c>
      <c r="HZ25" s="553">
        <v>11</v>
      </c>
      <c r="IA25" s="554">
        <v>373317692</v>
      </c>
      <c r="IB25" s="554">
        <v>369485441</v>
      </c>
      <c r="IC25" s="555">
        <f t="shared" si="5"/>
        <v>1</v>
      </c>
      <c r="ID25" s="555">
        <f t="shared" si="6"/>
        <v>0.98973461188118561</v>
      </c>
      <c r="IE25" s="556">
        <v>0</v>
      </c>
      <c r="IF25" s="556">
        <v>0</v>
      </c>
      <c r="IG25" s="556">
        <v>1</v>
      </c>
      <c r="IK25" s="557">
        <v>20</v>
      </c>
      <c r="IL25" s="558">
        <v>20</v>
      </c>
      <c r="IM25" s="559">
        <f t="shared" si="7"/>
        <v>0.98973461188118561</v>
      </c>
      <c r="IN25" s="458">
        <v>66979.06</v>
      </c>
      <c r="IO25" s="560">
        <f t="shared" si="29"/>
        <v>66291.493953266647</v>
      </c>
      <c r="IP25" s="458">
        <v>41579002</v>
      </c>
      <c r="IQ25" s="560">
        <v>37694016</v>
      </c>
      <c r="IR25" s="458">
        <v>17884950.9947</v>
      </c>
      <c r="IS25" s="560">
        <v>15085757</v>
      </c>
      <c r="IT25" s="458">
        <v>247500</v>
      </c>
      <c r="IU25" s="458">
        <v>247500</v>
      </c>
      <c r="IV25" s="458">
        <f t="shared" si="30"/>
        <v>18199430.054699998</v>
      </c>
      <c r="IW25" s="458">
        <f t="shared" si="30"/>
        <v>15399548.493953267</v>
      </c>
      <c r="IX25" s="314"/>
      <c r="IY25" s="315"/>
      <c r="IZ25" s="314"/>
      <c r="JA25" s="561">
        <v>20</v>
      </c>
      <c r="JB25" s="558">
        <v>20</v>
      </c>
      <c r="JC25" s="562">
        <f t="shared" si="8"/>
        <v>1</v>
      </c>
      <c r="JD25" s="563">
        <f t="shared" si="8"/>
        <v>0.98973461188118561</v>
      </c>
      <c r="JE25" s="458">
        <v>6270559.2375621554</v>
      </c>
      <c r="JF25" s="560">
        <f t="shared" si="70"/>
        <v>6206189.5132665634</v>
      </c>
      <c r="JG25" s="458">
        <v>329079.75049999997</v>
      </c>
      <c r="JH25" s="560">
        <f t="shared" si="31"/>
        <v>325701.61913907487</v>
      </c>
      <c r="JI25" s="458">
        <v>2349281.2134378431</v>
      </c>
      <c r="JJ25" s="560">
        <f t="shared" si="32"/>
        <v>2349281.2134378431</v>
      </c>
      <c r="JK25" s="458">
        <v>2518575.8474006681</v>
      </c>
      <c r="JL25" s="560">
        <v>2518575.8474006681</v>
      </c>
      <c r="JM25" s="458">
        <v>434017.47450000001</v>
      </c>
      <c r="JN25" s="560">
        <f>JM25*$ID25</f>
        <v>429562.11667390988</v>
      </c>
      <c r="JO25" s="458">
        <v>127293.87549999999</v>
      </c>
      <c r="JP25" s="560">
        <f t="shared" si="34"/>
        <v>125987.15446284445</v>
      </c>
      <c r="JQ25" s="458">
        <v>929248.59000000008</v>
      </c>
      <c r="JR25" s="560">
        <f t="shared" si="35"/>
        <v>919709.49256478902</v>
      </c>
      <c r="JS25" s="458">
        <v>1309487.1400000001</v>
      </c>
      <c r="JT25" s="560">
        <f t="shared" si="36"/>
        <v>1296044.7462713039</v>
      </c>
      <c r="JU25" s="458">
        <f t="shared" si="37"/>
        <v>14267543.128900668</v>
      </c>
      <c r="JV25" s="458">
        <f t="shared" si="37"/>
        <v>14171051.703217</v>
      </c>
      <c r="JW25" s="564">
        <f t="shared" si="9"/>
        <v>3.8353477920167904</v>
      </c>
      <c r="KA25" s="456">
        <v>20</v>
      </c>
      <c r="KB25" s="553">
        <v>20</v>
      </c>
      <c r="KC25" s="565">
        <f t="shared" si="10"/>
        <v>11</v>
      </c>
      <c r="KD25" s="566">
        <f t="shared" si="124"/>
        <v>11</v>
      </c>
      <c r="KE25" s="567">
        <f t="shared" si="12"/>
        <v>369485441</v>
      </c>
      <c r="KF25" s="567">
        <f t="shared" si="13"/>
        <v>383093396.00069195</v>
      </c>
      <c r="KG25" s="568">
        <f t="shared" si="38"/>
        <v>1</v>
      </c>
      <c r="KH25" s="568">
        <f t="shared" si="39"/>
        <v>1.036829475510219</v>
      </c>
      <c r="KI25" s="568">
        <f t="shared" si="40"/>
        <v>0.9645478253556099</v>
      </c>
      <c r="KJ25" s="553" t="s">
        <v>256</v>
      </c>
      <c r="KK25" s="322"/>
      <c r="KL25" s="323"/>
      <c r="KM25" s="322"/>
      <c r="KN25" s="456">
        <v>20</v>
      </c>
      <c r="KO25" s="553">
        <v>20</v>
      </c>
      <c r="KP25" s="569" t="str">
        <f t="shared" si="14"/>
        <v>Q3</v>
      </c>
      <c r="KQ25" s="570">
        <f t="shared" si="15"/>
        <v>0.9645478253556099</v>
      </c>
      <c r="KR25" s="571">
        <f t="shared" si="41"/>
        <v>66291.493953266647</v>
      </c>
      <c r="KS25" s="571">
        <f t="shared" si="42"/>
        <v>63941.316332197908</v>
      </c>
      <c r="KT25" s="571">
        <f t="shared" si="16"/>
        <v>37694016</v>
      </c>
      <c r="KU25" s="571">
        <f t="shared" si="43"/>
        <v>41953754.539749309</v>
      </c>
      <c r="KV25" s="571">
        <f t="shared" si="17"/>
        <v>15085757</v>
      </c>
      <c r="KW25" s="571">
        <f t="shared" si="18"/>
        <v>23030418.438909981</v>
      </c>
      <c r="KX25" s="571">
        <f t="shared" si="44"/>
        <v>247500</v>
      </c>
      <c r="KY25" s="571">
        <f t="shared" si="45"/>
        <v>832359.07439460629</v>
      </c>
      <c r="KZ25" s="571">
        <f t="shared" si="46"/>
        <v>15399548.493953267</v>
      </c>
      <c r="LA25" s="571">
        <f t="shared" si="46"/>
        <v>23926718.829636786</v>
      </c>
      <c r="LB25" s="326"/>
      <c r="LC25" s="323"/>
      <c r="LD25" s="322"/>
      <c r="LE25" s="374">
        <f t="shared" si="71"/>
        <v>20</v>
      </c>
      <c r="LF25" s="375">
        <v>19</v>
      </c>
      <c r="LG25" s="376">
        <f t="shared" si="72"/>
        <v>1</v>
      </c>
      <c r="LH25" s="376">
        <f t="shared" si="72"/>
        <v>1.036829475510219</v>
      </c>
      <c r="LI25" s="377">
        <v>106.45762205358784</v>
      </c>
      <c r="LJ25" s="290">
        <f t="shared" si="73"/>
        <v>4298701.203815829</v>
      </c>
      <c r="LK25" s="377">
        <v>106.45762205358784</v>
      </c>
      <c r="LL25" s="290">
        <f t="shared" si="47"/>
        <v>208862.7310408456</v>
      </c>
      <c r="LM25" s="377">
        <v>106.45762205358784</v>
      </c>
      <c r="LN25" s="290">
        <f t="shared" si="48"/>
        <v>1440891.1269047759</v>
      </c>
      <c r="LO25" s="377">
        <v>118.614283549666</v>
      </c>
      <c r="LP25" s="290">
        <f t="shared" si="74"/>
        <v>2298651.595409513</v>
      </c>
      <c r="LQ25" s="377">
        <v>119.48337591187899</v>
      </c>
      <c r="LR25" s="290">
        <f t="shared" si="49"/>
        <v>113691.81253968322</v>
      </c>
      <c r="LS25" s="377">
        <v>157.07111615098</v>
      </c>
      <c r="LT25" s="290">
        <f t="shared" si="50"/>
        <v>91642.647996055617</v>
      </c>
      <c r="LU25" s="377">
        <v>112.15574935818501</v>
      </c>
      <c r="LV25" s="290">
        <f t="shared" si="51"/>
        <v>1023443.1713718176</v>
      </c>
      <c r="LW25" s="377">
        <v>116.939890710382</v>
      </c>
      <c r="LX25" s="378">
        <f t="shared" si="52"/>
        <v>1380048.1868588014</v>
      </c>
      <c r="LY25" s="379">
        <f t="shared" si="53"/>
        <v>11177146.018450504</v>
      </c>
      <c r="LZ25" s="379">
        <f t="shared" si="75"/>
        <v>10855932.47593732</v>
      </c>
      <c r="MA25" s="103"/>
      <c r="MB25" s="335"/>
      <c r="MD25" s="338">
        <v>20</v>
      </c>
      <c r="ME25" s="380">
        <v>20</v>
      </c>
      <c r="MF25" s="20">
        <f t="shared" si="19"/>
        <v>18199430.054699998</v>
      </c>
      <c r="MG25" s="20">
        <f t="shared" si="19"/>
        <v>15399548.493953267</v>
      </c>
      <c r="MH25" s="343">
        <f t="shared" si="20"/>
        <v>23926718.829636786</v>
      </c>
      <c r="MI25" s="20">
        <f t="shared" si="21"/>
        <v>14267543.128900668</v>
      </c>
      <c r="MJ25" s="20">
        <f t="shared" si="21"/>
        <v>14171051.703217</v>
      </c>
      <c r="MK25" s="343">
        <f t="shared" si="54"/>
        <v>13668657.10333987</v>
      </c>
      <c r="ML25" s="20">
        <f t="shared" si="55"/>
        <v>3931886.9257993307</v>
      </c>
      <c r="MM25" s="20">
        <f t="shared" si="55"/>
        <v>1228496.7907362673</v>
      </c>
      <c r="MN25" s="20">
        <f t="shared" si="55"/>
        <v>10258061.726296917</v>
      </c>
      <c r="MX25" s="483">
        <f>MX24+1</f>
        <v>19</v>
      </c>
      <c r="MY25" s="572" t="s">
        <v>254</v>
      </c>
      <c r="MZ25" s="31">
        <f>MZ21+MZ23-MZ10</f>
        <v>112845140.34854272</v>
      </c>
      <c r="NA25" s="573">
        <f>MZ25/$MZ$34*100</f>
        <v>5.1520465154925361</v>
      </c>
      <c r="NB25" s="572"/>
      <c r="NC25" s="574">
        <f>NC21+NC23-NC10</f>
        <v>112845140.34854272</v>
      </c>
      <c r="ND25" s="573">
        <f>NC25/$ND$34*100</f>
        <v>5.1520465154925361</v>
      </c>
      <c r="NH25" s="483">
        <f>NH24+1</f>
        <v>19</v>
      </c>
      <c r="NI25" s="31" t="str">
        <f>MY25</f>
        <v>Revenue Requirement</v>
      </c>
      <c r="NJ25" s="31">
        <v>137621699.16939428</v>
      </c>
      <c r="NK25" s="31">
        <f>MZ25</f>
        <v>112845140.34854272</v>
      </c>
      <c r="NL25" s="31">
        <f t="shared" si="77"/>
        <v>-24776558.820851564</v>
      </c>
      <c r="NM25" s="575">
        <f t="shared" si="78"/>
        <v>-0.18003380985984532</v>
      </c>
    </row>
    <row r="26" spans="2:377" ht="17.25" thickBot="1" x14ac:dyDescent="0.35">
      <c r="AL26" s="464"/>
      <c r="AN26" s="576"/>
      <c r="AO26" s="577"/>
      <c r="AQ26" s="91"/>
      <c r="AS26" s="578"/>
      <c r="AT26" s="578"/>
      <c r="AU26" s="91"/>
      <c r="AV26" s="578"/>
      <c r="AW26" s="578"/>
      <c r="AX26" s="578"/>
      <c r="AY26" s="91"/>
      <c r="AZ26" s="578"/>
      <c r="BA26" s="578"/>
      <c r="BB26" s="578"/>
      <c r="BC26" s="91"/>
      <c r="BD26" s="578"/>
      <c r="BE26" s="578"/>
      <c r="BF26" s="578"/>
      <c r="BG26" s="91"/>
      <c r="BH26" s="578"/>
      <c r="BI26" s="578"/>
      <c r="BJ26" s="578"/>
      <c r="BK26" s="91"/>
      <c r="BL26" s="578"/>
      <c r="BM26" s="578"/>
      <c r="BN26" s="578"/>
      <c r="BO26" s="91"/>
      <c r="BP26" s="578"/>
      <c r="BQ26" s="578"/>
      <c r="BR26" s="578"/>
      <c r="BS26" s="91"/>
      <c r="BT26" s="578"/>
      <c r="BU26" s="578"/>
      <c r="BV26" s="578"/>
      <c r="BW26" s="578"/>
      <c r="BX26" s="578"/>
      <c r="BY26" s="578"/>
      <c r="BZ26" s="578"/>
      <c r="CA26" s="578"/>
      <c r="CB26" s="578"/>
      <c r="CC26" s="578"/>
      <c r="CD26" s="578"/>
      <c r="CE26" s="578"/>
      <c r="CF26" s="578"/>
      <c r="CG26" s="578"/>
      <c r="DX26" s="475"/>
      <c r="EC26" s="579"/>
      <c r="FG26" s="283">
        <f t="shared" si="84"/>
        <v>21</v>
      </c>
      <c r="FH26" s="406"/>
      <c r="FI26" s="407" t="s">
        <v>255</v>
      </c>
      <c r="FJ26" s="17">
        <v>1612.63</v>
      </c>
      <c r="FK26" s="17">
        <v>54550.04</v>
      </c>
      <c r="FL26" s="17">
        <v>0</v>
      </c>
      <c r="FM26" s="290">
        <f t="shared" ref="FM26:FM31" si="126">FJ26+FL26+FK26</f>
        <v>56162.67</v>
      </c>
      <c r="FN26" s="17">
        <v>1612.63</v>
      </c>
      <c r="FO26" s="17">
        <v>54550.04</v>
      </c>
      <c r="FP26" s="17">
        <v>0</v>
      </c>
      <c r="FQ26" s="17">
        <v>56162.67</v>
      </c>
      <c r="FR26" s="17">
        <v>56162.67</v>
      </c>
      <c r="FS26" s="103"/>
      <c r="FT26" s="408"/>
      <c r="HW26" s="467">
        <v>21</v>
      </c>
      <c r="HX26" s="580" t="s">
        <v>72</v>
      </c>
      <c r="HY26" s="580">
        <f>SUM(HY6:HY25)</f>
        <v>205</v>
      </c>
      <c r="HZ26" s="580">
        <f>SUM(HZ6:HZ25)</f>
        <v>221</v>
      </c>
      <c r="IA26" s="581">
        <f>SUM(IA6:IA25)</f>
        <v>2083394612.0181818</v>
      </c>
      <c r="IB26" s="581">
        <f>SUM(IB6:IB25)</f>
        <v>2112495296</v>
      </c>
      <c r="IC26" s="582">
        <f t="shared" si="5"/>
        <v>1.0780487804878049</v>
      </c>
      <c r="ID26" s="582">
        <f t="shared" si="6"/>
        <v>1.013967917462179</v>
      </c>
      <c r="IE26" s="581"/>
      <c r="IF26" s="581"/>
      <c r="IG26" s="581"/>
      <c r="IH26" s="280"/>
      <c r="IJ26" s="493"/>
      <c r="IK26" s="583">
        <v>21</v>
      </c>
      <c r="IL26" s="584" t="s">
        <v>72</v>
      </c>
      <c r="IM26" s="585">
        <f t="shared" si="7"/>
        <v>1.013967917462179</v>
      </c>
      <c r="IN26" s="31">
        <f t="shared" ref="IN26:IU26" si="127">SUM(IN6:IN25)</f>
        <v>215937.90000000002</v>
      </c>
      <c r="IO26" s="586">
        <f t="shared" si="127"/>
        <v>214148.01155062864</v>
      </c>
      <c r="IP26" s="31">
        <f t="shared" si="127"/>
        <v>229512596.2469697</v>
      </c>
      <c r="IQ26" s="586">
        <f t="shared" si="127"/>
        <v>229425276</v>
      </c>
      <c r="IR26" s="31">
        <f t="shared" si="127"/>
        <v>97659849.12220636</v>
      </c>
      <c r="IS26" s="586">
        <f t="shared" si="127"/>
        <v>94967116</v>
      </c>
      <c r="IT26" s="31">
        <f t="shared" si="127"/>
        <v>4550161.0413039103</v>
      </c>
      <c r="IU26" s="586">
        <f t="shared" si="127"/>
        <v>4747991.9641978256</v>
      </c>
      <c r="IV26" s="31">
        <f>SUM(IN26,IR26,IT26)</f>
        <v>102425948.06351027</v>
      </c>
      <c r="IW26" s="31">
        <f>SUM(IO26,IS26,IU26)</f>
        <v>99929255.975748464</v>
      </c>
      <c r="IX26" s="587"/>
      <c r="IY26" s="588"/>
      <c r="IZ26" s="587"/>
      <c r="JA26" s="316">
        <v>21</v>
      </c>
      <c r="JB26" s="589" t="s">
        <v>72</v>
      </c>
      <c r="JC26" s="590">
        <f>IC26</f>
        <v>1.0780487804878049</v>
      </c>
      <c r="JD26" s="591">
        <f t="shared" ref="JD26" si="128">ID26</f>
        <v>1.013967917462179</v>
      </c>
      <c r="JE26" s="592">
        <f t="shared" ref="JE26:JT26" si="129">SUM(JE6:JE25)</f>
        <v>36384668.568564296</v>
      </c>
      <c r="JF26" s="593">
        <f t="shared" si="129"/>
        <v>36992330.313946411</v>
      </c>
      <c r="JG26" s="592">
        <f t="shared" si="129"/>
        <v>2147299.9196500001</v>
      </c>
      <c r="JH26" s="593">
        <f t="shared" si="129"/>
        <v>2193064.0614437284</v>
      </c>
      <c r="JI26" s="592">
        <f t="shared" si="129"/>
        <v>17229598.204603888</v>
      </c>
      <c r="JJ26" s="593">
        <f t="shared" si="129"/>
        <v>17704130.732731506</v>
      </c>
      <c r="JK26" s="592">
        <f t="shared" si="129"/>
        <v>20963340.954979222</v>
      </c>
      <c r="JL26" s="593">
        <f t="shared" si="129"/>
        <v>21765718.436968524</v>
      </c>
      <c r="JM26" s="592">
        <f t="shared" si="129"/>
        <v>2093939.2539242425</v>
      </c>
      <c r="JN26" s="593">
        <f t="shared" si="129"/>
        <v>2144213.8135649599</v>
      </c>
      <c r="JO26" s="592">
        <f t="shared" si="129"/>
        <v>1282057.8355257579</v>
      </c>
      <c r="JP26" s="593">
        <f t="shared" si="129"/>
        <v>1322857.4076787899</v>
      </c>
      <c r="JQ26" s="592">
        <f t="shared" si="129"/>
        <v>4946746.7976090908</v>
      </c>
      <c r="JR26" s="593">
        <f t="shared" si="129"/>
        <v>4997847.5990450596</v>
      </c>
      <c r="JS26" s="592">
        <f t="shared" si="129"/>
        <v>9669260.545699697</v>
      </c>
      <c r="JT26" s="593">
        <f t="shared" si="129"/>
        <v>9826395.2532786801</v>
      </c>
      <c r="JU26" s="592">
        <f t="shared" si="37"/>
        <v>94716912.080556184</v>
      </c>
      <c r="JV26" s="592">
        <f>JF26+JH26+JJ26+JL26+JR26+JT26+JN26+JP26</f>
        <v>96946557.618657649</v>
      </c>
      <c r="JW26" s="594">
        <f t="shared" si="9"/>
        <v>4.5891963784357532</v>
      </c>
      <c r="JX26" s="280"/>
      <c r="JY26" s="595"/>
      <c r="KA26" s="467">
        <v>21</v>
      </c>
      <c r="KB26" s="580" t="s">
        <v>72</v>
      </c>
      <c r="KC26" s="526">
        <f>SUM(KC6:KC25)</f>
        <v>221</v>
      </c>
      <c r="KD26" s="526">
        <f>SUM(KD6:KD25)</f>
        <v>221</v>
      </c>
      <c r="KE26" s="596">
        <f>SUM(KE6:KE25)</f>
        <v>2112495296</v>
      </c>
      <c r="KF26" s="596">
        <f>'DCA 3 month Phase II'!M28</f>
        <v>2190297389.769485</v>
      </c>
      <c r="KG26" s="597">
        <f t="shared" si="38"/>
        <v>1</v>
      </c>
      <c r="KH26" s="597">
        <f t="shared" si="39"/>
        <v>1.036829475510219</v>
      </c>
      <c r="KI26" s="597">
        <f>LZ27/LY28</f>
        <v>0.97014805702809281</v>
      </c>
      <c r="KJ26" s="598" t="s">
        <v>256</v>
      </c>
      <c r="KK26" s="599"/>
      <c r="KL26" s="600"/>
      <c r="KM26" s="599"/>
      <c r="KN26" s="283">
        <v>21</v>
      </c>
      <c r="KO26" s="601" t="s">
        <v>72</v>
      </c>
      <c r="KP26" s="602" t="str">
        <f>KJ26</f>
        <v>Q3</v>
      </c>
      <c r="KQ26" s="603">
        <f t="shared" si="15"/>
        <v>0.97014805702809281</v>
      </c>
      <c r="KR26" s="28">
        <f>SUM(KR6:KR25)</f>
        <v>214148.01155062864</v>
      </c>
      <c r="KS26" s="28">
        <f>SUM(KS6:KS25)</f>
        <v>205696.30466724839</v>
      </c>
      <c r="KT26" s="28">
        <f t="shared" si="16"/>
        <v>229425276</v>
      </c>
      <c r="KU26" s="28">
        <v>239866309.41368827</v>
      </c>
      <c r="KV26" s="28">
        <f>SUM(KV6:KV25)</f>
        <v>94967116</v>
      </c>
      <c r="KW26" s="28">
        <v>131674066.73842122</v>
      </c>
      <c r="KX26" s="28">
        <f>SUM(KX6:KX25)</f>
        <v>4747991.9641978256</v>
      </c>
      <c r="KY26" s="28">
        <v>4758928.0499999989</v>
      </c>
      <c r="KZ26" s="28">
        <f>SUM(KR26,KV26,KX26)</f>
        <v>99929255.975748464</v>
      </c>
      <c r="LA26" s="28">
        <f>SUM(KS26,KW26,KY26)</f>
        <v>136638691.09308848</v>
      </c>
      <c r="LB26" s="599"/>
      <c r="LC26" s="600"/>
      <c r="LD26" s="599"/>
      <c r="LE26" s="364">
        <f t="shared" si="71"/>
        <v>21</v>
      </c>
      <c r="LF26" s="365">
        <v>20</v>
      </c>
      <c r="LG26" s="411">
        <f t="shared" si="72"/>
        <v>1</v>
      </c>
      <c r="LH26" s="411">
        <f t="shared" si="72"/>
        <v>1.036829475510219</v>
      </c>
      <c r="LI26" s="412">
        <v>106.45762205358784</v>
      </c>
      <c r="LJ26" s="343">
        <f t="shared" si="73"/>
        <v>5675535.1338128885</v>
      </c>
      <c r="LK26" s="412">
        <v>106.45762205358784</v>
      </c>
      <c r="LL26" s="560">
        <f t="shared" si="47"/>
        <v>297852.8094593439</v>
      </c>
      <c r="LM26" s="412">
        <v>106.45762205358784</v>
      </c>
      <c r="LN26" s="343">
        <f t="shared" si="48"/>
        <v>2072094.0041967786</v>
      </c>
      <c r="LO26" s="412">
        <v>118.614283549666</v>
      </c>
      <c r="LP26" s="560">
        <f t="shared" si="74"/>
        <v>2634488.8491165428</v>
      </c>
      <c r="LQ26" s="412">
        <v>119.48337591187899</v>
      </c>
      <c r="LR26" s="560">
        <f t="shared" si="49"/>
        <v>465642.53909417294</v>
      </c>
      <c r="LS26" s="412">
        <v>157.07111615098</v>
      </c>
      <c r="LT26" s="560">
        <f t="shared" si="50"/>
        <v>118770.73027702268</v>
      </c>
      <c r="LU26" s="412">
        <v>112.15574935818501</v>
      </c>
      <c r="LV26" s="560">
        <f t="shared" si="51"/>
        <v>1002485.6708546366</v>
      </c>
      <c r="LW26" s="412">
        <v>116.939890710382</v>
      </c>
      <c r="LX26" s="343">
        <f t="shared" si="52"/>
        <v>1401787.3665284831</v>
      </c>
      <c r="LY26" s="20">
        <f t="shared" si="53"/>
        <v>14171051.703217</v>
      </c>
      <c r="LZ26" s="20">
        <f t="shared" si="75"/>
        <v>13668657.10333987</v>
      </c>
      <c r="MA26" s="103"/>
      <c r="MD26" s="283">
        <v>21</v>
      </c>
      <c r="ME26" s="604" t="s">
        <v>72</v>
      </c>
      <c r="MF26" s="28">
        <f>SUM(MF6:MF25)</f>
        <v>102425948.06351028</v>
      </c>
      <c r="MG26" s="28">
        <f t="shared" ref="MG26:MK26" si="130">SUM(MG6:MG25)</f>
        <v>99929255.975748464</v>
      </c>
      <c r="MH26" s="497">
        <f t="shared" si="130"/>
        <v>136638691.09308848</v>
      </c>
      <c r="MI26" s="28">
        <f t="shared" si="130"/>
        <v>94716912.080556199</v>
      </c>
      <c r="MJ26" s="28">
        <f t="shared" si="130"/>
        <v>96946557.618657649</v>
      </c>
      <c r="MK26" s="497">
        <f t="shared" si="130"/>
        <v>94052514.509302765</v>
      </c>
      <c r="ML26" s="28">
        <f t="shared" si="55"/>
        <v>7709035.9829540849</v>
      </c>
      <c r="MM26" s="28">
        <f t="shared" si="55"/>
        <v>2982698.3570908159</v>
      </c>
      <c r="MN26" s="28">
        <f t="shared" si="55"/>
        <v>42586176.583785713</v>
      </c>
      <c r="MX26" s="338">
        <f>MX25+1</f>
        <v>20</v>
      </c>
      <c r="MY26" s="20" t="s">
        <v>257</v>
      </c>
      <c r="MZ26" s="20">
        <v>0</v>
      </c>
      <c r="NA26" s="414">
        <f>MZ26/$MZ$34*100</f>
        <v>0</v>
      </c>
      <c r="NB26" s="91"/>
      <c r="NC26" s="15">
        <f>MZ26</f>
        <v>0</v>
      </c>
      <c r="ND26" s="414">
        <f>NC26/$MZ$34*100</f>
        <v>0</v>
      </c>
      <c r="NH26" s="338">
        <f>NH25+1</f>
        <v>20</v>
      </c>
      <c r="NI26" s="20" t="s">
        <v>257</v>
      </c>
      <c r="NJ26" s="20">
        <v>0</v>
      </c>
      <c r="NK26" s="20">
        <f>MZ26</f>
        <v>0</v>
      </c>
      <c r="NL26" s="20">
        <f t="shared" si="77"/>
        <v>0</v>
      </c>
      <c r="NM26" s="352">
        <f>IFERROR(NL26/NJ26,0)</f>
        <v>0</v>
      </c>
    </row>
    <row r="27" spans="2:377" ht="17.25" thickBot="1" x14ac:dyDescent="0.35">
      <c r="G27" s="107"/>
      <c r="H27" s="107"/>
      <c r="I27" s="107"/>
      <c r="J27" s="107"/>
      <c r="K27" s="107"/>
      <c r="L27" s="107"/>
      <c r="O27" s="107"/>
      <c r="AL27" s="464"/>
      <c r="AN27" s="438"/>
      <c r="AS27" s="105"/>
      <c r="AT27" s="350"/>
      <c r="AV27" s="105"/>
      <c r="AW27" s="350"/>
      <c r="AX27" s="351"/>
      <c r="AZ27" s="105"/>
      <c r="BA27" s="350"/>
      <c r="BB27" s="351"/>
      <c r="BD27" s="105"/>
      <c r="BE27" s="350"/>
      <c r="BF27" s="351"/>
      <c r="BH27" s="105"/>
      <c r="BI27" s="350"/>
      <c r="BJ27" s="351"/>
      <c r="BL27" s="105"/>
      <c r="BM27" s="350"/>
      <c r="BN27" s="351"/>
      <c r="BP27" s="105"/>
      <c r="BQ27" s="350"/>
      <c r="BR27" s="351"/>
      <c r="BT27" s="105"/>
      <c r="BU27" s="350"/>
      <c r="BV27" s="351"/>
      <c r="BW27" s="351"/>
      <c r="BX27" s="351"/>
      <c r="BY27" s="351"/>
      <c r="BZ27" s="351"/>
      <c r="CA27" s="351"/>
      <c r="CB27" s="351"/>
      <c r="CC27" s="105"/>
      <c r="CE27" s="351"/>
      <c r="CF27" s="351"/>
      <c r="CG27" s="351"/>
      <c r="EA27" s="579"/>
      <c r="FG27" s="338">
        <f t="shared" si="84"/>
        <v>22</v>
      </c>
      <c r="FH27" s="360"/>
      <c r="FI27" s="361" t="s">
        <v>258</v>
      </c>
      <c r="FJ27" s="20">
        <v>0</v>
      </c>
      <c r="FK27" s="20">
        <v>0</v>
      </c>
      <c r="FL27" s="20">
        <v>8076.07</v>
      </c>
      <c r="FM27" s="343">
        <f t="shared" si="126"/>
        <v>8076.07</v>
      </c>
      <c r="FN27" s="20">
        <v>0</v>
      </c>
      <c r="FO27" s="20">
        <v>0</v>
      </c>
      <c r="FP27" s="20">
        <v>8076.07</v>
      </c>
      <c r="FQ27" s="20">
        <v>8076.07</v>
      </c>
      <c r="FR27" s="20">
        <v>8076.07</v>
      </c>
      <c r="FS27" s="103"/>
      <c r="FT27" s="408"/>
      <c r="HW27" s="605"/>
      <c r="IJ27" s="475"/>
      <c r="IK27" s="606">
        <v>22</v>
      </c>
      <c r="IL27" s="607" t="s">
        <v>259</v>
      </c>
      <c r="IM27" s="608"/>
      <c r="IN27" s="609"/>
      <c r="IO27" s="610">
        <f>IO26/IN26</f>
        <v>0.99171109634125654</v>
      </c>
      <c r="IP27" s="609"/>
      <c r="IQ27" s="610">
        <f>IQ26/IP26</f>
        <v>0.99961954050279778</v>
      </c>
      <c r="IR27" s="609"/>
      <c r="IS27" s="610">
        <f>IS26/IR26</f>
        <v>0.97242742901602464</v>
      </c>
      <c r="IT27" s="609"/>
      <c r="IU27" s="610">
        <f>IU26/IT26</f>
        <v>1.043477784873571</v>
      </c>
      <c r="IV27" s="609"/>
      <c r="IW27" s="611">
        <f>IW26/IV26</f>
        <v>0.97562441807994094</v>
      </c>
      <c r="IX27" s="612"/>
      <c r="IY27" s="613"/>
      <c r="IZ27" s="612"/>
      <c r="JA27" s="614">
        <v>22</v>
      </c>
      <c r="JB27" s="609" t="s">
        <v>259</v>
      </c>
      <c r="JC27" s="615"/>
      <c r="JD27" s="615"/>
      <c r="JE27" s="616"/>
      <c r="JF27" s="617">
        <f>JF26/JE26</f>
        <v>1.0167010383573241</v>
      </c>
      <c r="JG27" s="616"/>
      <c r="JH27" s="617">
        <f>JH26/JG26</f>
        <v>1.0213124125674944</v>
      </c>
      <c r="JI27" s="616"/>
      <c r="JJ27" s="617">
        <f>JJ26/JI26</f>
        <v>1.0275417059929359</v>
      </c>
      <c r="JK27" s="616"/>
      <c r="JL27" s="617">
        <f>JL26/JK26</f>
        <v>1.038275267463926</v>
      </c>
      <c r="JM27" s="618"/>
      <c r="JN27" s="617">
        <f>JN26/JM26</f>
        <v>1.0240095597551353</v>
      </c>
      <c r="JO27" s="618"/>
      <c r="JP27" s="617">
        <f>JP26/JO26</f>
        <v>1.0318235036068404</v>
      </c>
      <c r="JQ27" s="616"/>
      <c r="JR27" s="617">
        <f>JR26/JQ26</f>
        <v>1.0103301833561944</v>
      </c>
      <c r="JS27" s="616"/>
      <c r="JT27" s="617">
        <f>JT26/JS26</f>
        <v>1.0162509539210698</v>
      </c>
      <c r="JU27" s="618"/>
      <c r="JV27" s="619">
        <f>JV26/JU26</f>
        <v>1.0235400995358164</v>
      </c>
      <c r="JW27" s="619"/>
      <c r="JX27" s="351"/>
      <c r="JY27" s="464"/>
      <c r="KE27" s="350"/>
      <c r="KL27" s="620"/>
      <c r="KM27" s="621"/>
      <c r="KN27" s="549">
        <v>22</v>
      </c>
      <c r="KO27" s="622" t="s">
        <v>260</v>
      </c>
      <c r="KP27" s="622"/>
      <c r="KQ27" s="622"/>
      <c r="KR27" s="618"/>
      <c r="KS27" s="623">
        <f>KS26/KR26</f>
        <v>0.96053333943106867</v>
      </c>
      <c r="KT27" s="616"/>
      <c r="KU27" s="623">
        <f>KU26/KT26</f>
        <v>1.045509516630976</v>
      </c>
      <c r="KV27" s="616"/>
      <c r="KW27" s="623">
        <f>KW26/KV26</f>
        <v>1.386522748973668</v>
      </c>
      <c r="KX27" s="624"/>
      <c r="KY27" s="624">
        <f>KY26/KX26</f>
        <v>1.0023033075634156</v>
      </c>
      <c r="KZ27" s="616"/>
      <c r="LA27" s="624">
        <f>LA26/KZ26</f>
        <v>1.3673542323406163</v>
      </c>
      <c r="LB27" s="621"/>
      <c r="LC27" s="620"/>
      <c r="LD27" s="621"/>
      <c r="LE27" s="625">
        <f t="shared" si="71"/>
        <v>22</v>
      </c>
      <c r="LF27" s="626" t="s">
        <v>72</v>
      </c>
      <c r="LG27" s="627">
        <f t="shared" si="72"/>
        <v>1</v>
      </c>
      <c r="LH27" s="627">
        <f t="shared" si="72"/>
        <v>1.036829475510219</v>
      </c>
      <c r="LI27" s="628"/>
      <c r="LJ27" s="629">
        <f>SUM(LJ7:LJ26)</f>
        <v>33850802.547557287</v>
      </c>
      <c r="LK27" s="630"/>
      <c r="LL27" s="631">
        <f>SUM(LL7:LL26)</f>
        <v>2027639.7678979416</v>
      </c>
      <c r="LM27" s="632"/>
      <c r="LN27" s="629">
        <f>SUM(LN7:LN26)</f>
        <v>15711197.861928774</v>
      </c>
      <c r="LO27" s="633"/>
      <c r="LP27" s="631">
        <f>SUM(LP7:LP26)</f>
        <v>22755368.059679482</v>
      </c>
      <c r="LQ27" s="634"/>
      <c r="LR27" s="631">
        <f>SUM(LR7:LR26)</f>
        <v>2324046.4806500995</v>
      </c>
      <c r="LS27" s="634"/>
      <c r="LT27" s="631">
        <f>SUM(LT7:LT26)</f>
        <v>1250127.2573818178</v>
      </c>
      <c r="LU27" s="634"/>
      <c r="LV27" s="631">
        <f>SUM(LV7:LV26)</f>
        <v>5491960.0167713584</v>
      </c>
      <c r="LW27" s="634"/>
      <c r="LX27" s="629">
        <f>SUM(LX7:LX26)</f>
        <v>10641372.517436014</v>
      </c>
      <c r="LY27" s="631"/>
      <c r="LZ27" s="631">
        <f>LJ27+LL27+LN27+LP27+LV27+LX27+LR27+LT27</f>
        <v>94052514.509302765</v>
      </c>
      <c r="MA27" s="103"/>
      <c r="MB27" s="635"/>
      <c r="MD27" s="475"/>
      <c r="MF27" s="636" t="s">
        <v>261</v>
      </c>
      <c r="MG27" s="637"/>
      <c r="MH27" s="305"/>
      <c r="MI27" s="305"/>
      <c r="MJ27" s="305"/>
      <c r="MK27" s="305"/>
      <c r="ML27" s="305"/>
      <c r="MM27" s="305"/>
      <c r="MN27" s="305">
        <f>MN26-MM26</f>
        <v>39603478.226694897</v>
      </c>
      <c r="MX27" s="483">
        <f>MX26+1</f>
        <v>21</v>
      </c>
      <c r="MY27" s="32" t="s">
        <v>262</v>
      </c>
      <c r="MZ27" s="32">
        <v>0</v>
      </c>
      <c r="NA27" s="638">
        <f>MZ27/$MZ$34*100</f>
        <v>0</v>
      </c>
      <c r="NB27" s="382"/>
      <c r="NC27" s="26">
        <f>MZ27</f>
        <v>0</v>
      </c>
      <c r="ND27" s="638">
        <f>NC27/$MZ$34*100</f>
        <v>0</v>
      </c>
      <c r="NH27" s="483">
        <f>NH26+1</f>
        <v>21</v>
      </c>
      <c r="NI27" s="32" t="s">
        <v>262</v>
      </c>
      <c r="NJ27" s="32">
        <v>0</v>
      </c>
      <c r="NK27" s="32">
        <v>0</v>
      </c>
      <c r="NL27" s="32">
        <f t="shared" si="77"/>
        <v>0</v>
      </c>
      <c r="NM27" s="575">
        <f>IFERROR(NL27/NJ27,0)</f>
        <v>0</v>
      </c>
    </row>
    <row r="28" spans="2:377" ht="17.25" thickBot="1" x14ac:dyDescent="0.35">
      <c r="AL28" s="464"/>
      <c r="AN28" s="438"/>
      <c r="AS28" s="105"/>
      <c r="AT28" s="350"/>
      <c r="AV28" s="105"/>
      <c r="AW28" s="350"/>
      <c r="AX28" s="351"/>
      <c r="AZ28" s="105"/>
      <c r="BA28" s="350"/>
      <c r="BB28" s="351"/>
      <c r="BD28" s="105"/>
      <c r="BE28" s="350"/>
      <c r="BF28" s="351"/>
      <c r="BH28" s="105"/>
      <c r="BI28" s="350"/>
      <c r="BJ28" s="351"/>
      <c r="BL28" s="105"/>
      <c r="BM28" s="350"/>
      <c r="BN28" s="351"/>
      <c r="BP28" s="105"/>
      <c r="BQ28" s="350"/>
      <c r="BR28" s="351"/>
      <c r="BT28" s="105"/>
      <c r="BU28" s="350"/>
      <c r="BV28" s="351"/>
      <c r="BW28" s="351"/>
      <c r="BX28" s="351"/>
      <c r="BY28" s="351"/>
      <c r="BZ28" s="351"/>
      <c r="CA28" s="351"/>
      <c r="CB28" s="351"/>
      <c r="CC28" s="105"/>
      <c r="CE28" s="351"/>
      <c r="CF28" s="351"/>
      <c r="CG28" s="351"/>
      <c r="FG28" s="283">
        <f t="shared" si="84"/>
        <v>23</v>
      </c>
      <c r="FH28" s="406"/>
      <c r="FI28" s="407" t="s">
        <v>263</v>
      </c>
      <c r="FJ28" s="17">
        <v>78564</v>
      </c>
      <c r="FK28" s="17">
        <v>249993.75</v>
      </c>
      <c r="FL28" s="17">
        <v>20068</v>
      </c>
      <c r="FM28" s="290">
        <f t="shared" si="126"/>
        <v>348625.75</v>
      </c>
      <c r="FN28" s="17">
        <v>0</v>
      </c>
      <c r="FO28" s="17">
        <v>0</v>
      </c>
      <c r="FP28" s="17">
        <v>0</v>
      </c>
      <c r="FQ28" s="17">
        <v>0</v>
      </c>
      <c r="FR28" s="17">
        <v>0</v>
      </c>
      <c r="FS28" s="103"/>
      <c r="FT28" s="408"/>
      <c r="II28" s="595"/>
      <c r="IQ28" s="537"/>
      <c r="IS28" s="537"/>
      <c r="IT28" s="537"/>
      <c r="IU28" s="537"/>
      <c r="IW28" s="537"/>
      <c r="JU28" s="639"/>
      <c r="KL28" s="640"/>
      <c r="KM28" s="641"/>
      <c r="KU28" s="537"/>
      <c r="KZ28" s="641"/>
      <c r="LA28" s="641"/>
      <c r="LB28" s="641"/>
      <c r="LC28" s="640"/>
      <c r="LD28" s="641"/>
      <c r="LE28" s="642">
        <f t="shared" si="71"/>
        <v>23</v>
      </c>
      <c r="LF28" s="622" t="s">
        <v>260</v>
      </c>
      <c r="LG28" s="643"/>
      <c r="LH28" s="644"/>
      <c r="LI28" s="645">
        <f>JF26</f>
        <v>36992330.313946411</v>
      </c>
      <c r="LJ28" s="623">
        <f>LJ27/LI28</f>
        <v>0.91507624040638658</v>
      </c>
      <c r="LK28" s="645">
        <f>JH26</f>
        <v>2193064.0614437284</v>
      </c>
      <c r="LL28" s="623">
        <f>LL27/LK28</f>
        <v>0.92456932907063127</v>
      </c>
      <c r="LM28" s="645">
        <f>JJ26</f>
        <v>17704130.732731506</v>
      </c>
      <c r="LN28" s="623">
        <f>LN27/LM28</f>
        <v>0.8874311932684622</v>
      </c>
      <c r="LO28" s="623"/>
      <c r="LP28" s="623">
        <f>LP27/JL26</f>
        <v>1.0454682727600695</v>
      </c>
      <c r="LQ28" s="645">
        <f>JN26</f>
        <v>2144213.8135649599</v>
      </c>
      <c r="LR28" s="623">
        <f>LR27/LQ28</f>
        <v>1.0838688128709284</v>
      </c>
      <c r="LS28" s="645">
        <f>JP26</f>
        <v>1322857.4076787899</v>
      </c>
      <c r="LT28" s="623">
        <f>LT27/LS28</f>
        <v>0.94502041574942586</v>
      </c>
      <c r="LU28" s="645">
        <f>JR26</f>
        <v>4997847.5990450596</v>
      </c>
      <c r="LV28" s="623">
        <f>LV27/LU28</f>
        <v>1.0988650429878473</v>
      </c>
      <c r="LW28" s="645">
        <f>JT26</f>
        <v>9826395.2532786801</v>
      </c>
      <c r="LX28" s="623">
        <f>LX27/LW28</f>
        <v>1.082937561857733</v>
      </c>
      <c r="LY28" s="645">
        <f>JV26</f>
        <v>96946557.618657649</v>
      </c>
      <c r="LZ28" s="624">
        <f>LZ27/LY28</f>
        <v>0.97014805702809281</v>
      </c>
      <c r="MA28" s="646"/>
      <c r="MX28" s="338">
        <f t="shared" ref="MX28:MX31" si="131">MX27+1</f>
        <v>22</v>
      </c>
      <c r="MY28" s="647" t="s">
        <v>264</v>
      </c>
      <c r="MZ28" s="648">
        <f>SUM(MZ25:MZ27)</f>
        <v>112845140.34854272</v>
      </c>
      <c r="NA28" s="649">
        <f>MZ28/$MZ$34*100</f>
        <v>5.1520465154925361</v>
      </c>
      <c r="NB28" s="474"/>
      <c r="NC28" s="650">
        <f>SUM(NC25:NC27)</f>
        <v>112845140.34854272</v>
      </c>
      <c r="ND28" s="649">
        <f>NC28/$MZ$34*100</f>
        <v>5.1520465154925361</v>
      </c>
      <c r="NH28" s="338">
        <f t="shared" ref="NH28:NH32" si="132">NH27+1</f>
        <v>22</v>
      </c>
      <c r="NI28" s="647" t="s">
        <v>264</v>
      </c>
      <c r="NJ28" s="33">
        <v>137621699.16939428</v>
      </c>
      <c r="NK28" s="648">
        <f>NK25+NK26+NK27</f>
        <v>112845140.34854272</v>
      </c>
      <c r="NL28" s="479">
        <f t="shared" si="77"/>
        <v>-24776558.820851564</v>
      </c>
      <c r="NM28" s="352">
        <f t="shared" si="78"/>
        <v>-0.18003380985984532</v>
      </c>
    </row>
    <row r="29" spans="2:377" x14ac:dyDescent="0.3">
      <c r="AL29" s="464"/>
      <c r="AN29" s="438"/>
      <c r="AS29" s="105"/>
      <c r="AT29" s="350"/>
      <c r="AV29" s="105"/>
      <c r="AW29" s="350"/>
      <c r="AX29" s="351"/>
      <c r="AZ29" s="105"/>
      <c r="BA29" s="350"/>
      <c r="BB29" s="351"/>
      <c r="BD29" s="105"/>
      <c r="BE29" s="350"/>
      <c r="BF29" s="351"/>
      <c r="BH29" s="105"/>
      <c r="BI29" s="350"/>
      <c r="BJ29" s="351"/>
      <c r="BL29" s="105"/>
      <c r="BM29" s="350"/>
      <c r="BN29" s="351"/>
      <c r="BP29" s="105"/>
      <c r="BQ29" s="350"/>
      <c r="BR29" s="351"/>
      <c r="BT29" s="105"/>
      <c r="BU29" s="350"/>
      <c r="BV29" s="351"/>
      <c r="BW29" s="351"/>
      <c r="BX29" s="351"/>
      <c r="BY29" s="351"/>
      <c r="BZ29" s="351"/>
      <c r="CA29" s="351"/>
      <c r="CB29" s="351"/>
      <c r="CC29" s="105"/>
      <c r="CE29" s="351"/>
      <c r="CF29" s="351"/>
      <c r="CG29" s="351"/>
      <c r="FG29" s="338">
        <f t="shared" si="84"/>
        <v>24</v>
      </c>
      <c r="FH29" s="360"/>
      <c r="FI29" s="361" t="s">
        <v>265</v>
      </c>
      <c r="FJ29" s="20">
        <v>28.81</v>
      </c>
      <c r="FK29" s="20">
        <v>30975.599999999999</v>
      </c>
      <c r="FL29" s="20">
        <v>53054.5</v>
      </c>
      <c r="FM29" s="343">
        <f t="shared" si="126"/>
        <v>84058.91</v>
      </c>
      <c r="FN29" s="20">
        <v>28.81</v>
      </c>
      <c r="FO29" s="20">
        <v>30975.599999999999</v>
      </c>
      <c r="FP29" s="20">
        <v>53054.5</v>
      </c>
      <c r="FQ29" s="20">
        <v>84058.91</v>
      </c>
      <c r="FR29" s="20">
        <v>84058.91</v>
      </c>
      <c r="FS29" s="103"/>
      <c r="FT29" s="408"/>
      <c r="JX29" s="351"/>
      <c r="JY29" s="464"/>
      <c r="KL29" s="640"/>
      <c r="KM29" s="641"/>
      <c r="KN29" s="641"/>
      <c r="KO29" s="641"/>
      <c r="KP29" s="641"/>
      <c r="KQ29" s="641"/>
      <c r="KR29" s="641"/>
      <c r="KT29" s="641"/>
      <c r="KU29" s="651"/>
      <c r="KV29" s="641"/>
      <c r="KW29" s="651"/>
      <c r="KX29" s="651"/>
      <c r="KY29" s="651"/>
      <c r="KZ29" s="641"/>
      <c r="LA29" s="641"/>
      <c r="LB29" s="641"/>
      <c r="LC29" s="640"/>
      <c r="LD29" s="641"/>
      <c r="LJ29" s="351"/>
      <c r="LL29" s="351"/>
      <c r="LN29" s="351"/>
      <c r="LO29" s="351"/>
      <c r="LP29" s="351"/>
      <c r="LQ29" s="351"/>
      <c r="LR29" s="351"/>
      <c r="LS29" s="351"/>
      <c r="LT29" s="351"/>
      <c r="LV29" s="351"/>
      <c r="LX29" s="351"/>
      <c r="LZ29" s="351"/>
      <c r="MA29" s="107"/>
      <c r="MX29" s="283">
        <f t="shared" si="131"/>
        <v>23</v>
      </c>
      <c r="MY29" s="444" t="s">
        <v>266</v>
      </c>
      <c r="MZ29" s="652">
        <f>MZ11</f>
        <v>4758928.0499999989</v>
      </c>
      <c r="NA29" s="509">
        <f t="shared" ref="NA29" si="133">MZ29/$MZ$34*100</f>
        <v>0.21727314620508431</v>
      </c>
      <c r="NB29" s="652">
        <f t="shared" ref="NB29:NC29" si="134">NB11</f>
        <v>0</v>
      </c>
      <c r="NC29" s="653">
        <f t="shared" si="134"/>
        <v>4758928.0499999989</v>
      </c>
      <c r="ND29" s="509">
        <f t="shared" ref="ND29" si="135">NC29/$MZ$34*100</f>
        <v>0.21727314620508431</v>
      </c>
      <c r="NH29" s="283">
        <f t="shared" si="132"/>
        <v>23</v>
      </c>
      <c r="NI29" s="444" t="s">
        <v>266</v>
      </c>
      <c r="NJ29" s="34">
        <v>4822773.09</v>
      </c>
      <c r="NK29" s="652">
        <f>MZ29</f>
        <v>4758928.0499999989</v>
      </c>
      <c r="NL29" s="28">
        <f t="shared" si="77"/>
        <v>-63845.040000000969</v>
      </c>
      <c r="NM29" s="395">
        <f t="shared" si="78"/>
        <v>-1.3238242564715183E-2</v>
      </c>
    </row>
    <row r="30" spans="2:377" x14ac:dyDescent="0.3">
      <c r="AL30" s="464"/>
      <c r="AN30" s="438"/>
      <c r="AS30" s="105"/>
      <c r="AT30" s="350"/>
      <c r="AV30" s="105"/>
      <c r="AW30" s="350"/>
      <c r="AX30" s="351"/>
      <c r="AZ30" s="105"/>
      <c r="BA30" s="350"/>
      <c r="BB30" s="351"/>
      <c r="BD30" s="105"/>
      <c r="BE30" s="350"/>
      <c r="BF30" s="351"/>
      <c r="BH30" s="105"/>
      <c r="BI30" s="350"/>
      <c r="BJ30" s="351"/>
      <c r="BL30" s="105"/>
      <c r="BM30" s="350"/>
      <c r="BN30" s="351"/>
      <c r="BP30" s="105"/>
      <c r="BQ30" s="350"/>
      <c r="BR30" s="351"/>
      <c r="BT30" s="105"/>
      <c r="BU30" s="350"/>
      <c r="BV30" s="351"/>
      <c r="BW30" s="351"/>
      <c r="BX30" s="351"/>
      <c r="BY30" s="351"/>
      <c r="BZ30" s="351"/>
      <c r="CA30" s="351"/>
      <c r="CB30" s="351"/>
      <c r="CC30" s="105"/>
      <c r="CE30" s="351"/>
      <c r="CF30" s="351"/>
      <c r="CG30" s="351"/>
      <c r="FG30" s="283">
        <f t="shared" si="84"/>
        <v>25</v>
      </c>
      <c r="FH30" s="406"/>
      <c r="FI30" s="407" t="s">
        <v>267</v>
      </c>
      <c r="FJ30" s="17">
        <v>265316.65460000001</v>
      </c>
      <c r="FK30" s="17">
        <v>40329.020000000004</v>
      </c>
      <c r="FL30" s="17">
        <v>139233.63999999998</v>
      </c>
      <c r="FM30" s="290">
        <f t="shared" si="126"/>
        <v>444879.31460000004</v>
      </c>
      <c r="FN30" s="17">
        <v>266750.55460000003</v>
      </c>
      <c r="FO30" s="17">
        <v>40329.020000000011</v>
      </c>
      <c r="FP30" s="17">
        <v>139233.64000000001</v>
      </c>
      <c r="FQ30" s="17">
        <v>446313.21460000006</v>
      </c>
      <c r="FR30" s="17">
        <v>446313.21460000006</v>
      </c>
      <c r="FS30" s="103"/>
      <c r="FT30" s="408"/>
      <c r="JE30" s="20"/>
      <c r="JF30" s="20"/>
      <c r="JG30" s="20"/>
      <c r="JH30" s="20"/>
      <c r="KL30" s="640"/>
      <c r="KM30" s="641"/>
      <c r="KN30" s="279"/>
      <c r="KO30" s="279"/>
      <c r="KP30" s="279"/>
      <c r="KQ30" s="279"/>
      <c r="KR30" s="279"/>
      <c r="KS30" s="279"/>
      <c r="KT30" s="279"/>
      <c r="KU30" s="279"/>
      <c r="KV30" s="279"/>
      <c r="KW30" s="279"/>
      <c r="KX30" s="279"/>
      <c r="KY30" s="279"/>
      <c r="KZ30" s="279"/>
      <c r="LA30" s="279"/>
      <c r="LB30" s="641"/>
      <c r="LC30" s="640"/>
      <c r="LD30" s="641"/>
      <c r="LE30" s="279"/>
      <c r="LF30" s="279"/>
      <c r="LG30" s="279"/>
      <c r="LH30" s="279"/>
      <c r="LI30" s="279"/>
      <c r="LJ30" s="654"/>
      <c r="LK30" s="654"/>
      <c r="LL30" s="655"/>
      <c r="LM30" s="279"/>
      <c r="LN30" s="655"/>
      <c r="LO30" s="655"/>
      <c r="LP30" s="279"/>
      <c r="LU30" s="103"/>
      <c r="MA30" s="107"/>
      <c r="MX30" s="338">
        <f t="shared" si="131"/>
        <v>24</v>
      </c>
      <c r="MY30" s="647" t="s">
        <v>268</v>
      </c>
      <c r="MZ30" s="648">
        <f>MZ28-MZ29</f>
        <v>108086212.29854272</v>
      </c>
      <c r="NA30" s="649">
        <f>MZ30/$MZ$34*100</f>
        <v>4.934773369287452</v>
      </c>
      <c r="NB30" s="474"/>
      <c r="NC30" s="650">
        <f>NC28-NC29</f>
        <v>108086212.29854272</v>
      </c>
      <c r="ND30" s="649">
        <f>NC30/$MZ$34*100</f>
        <v>4.934773369287452</v>
      </c>
      <c r="NH30" s="338">
        <f t="shared" si="132"/>
        <v>24</v>
      </c>
      <c r="NI30" s="647" t="s">
        <v>268</v>
      </c>
      <c r="NJ30" s="33">
        <v>132798926.07939428</v>
      </c>
      <c r="NK30" s="648">
        <f>MZ30</f>
        <v>108086212.29854272</v>
      </c>
      <c r="NL30" s="479">
        <f t="shared" si="77"/>
        <v>-24712713.780851558</v>
      </c>
      <c r="NM30" s="352">
        <f t="shared" si="78"/>
        <v>-0.18609121707864551</v>
      </c>
    </row>
    <row r="31" spans="2:377" x14ac:dyDescent="0.3">
      <c r="P31" s="656"/>
      <c r="Q31" s="656"/>
      <c r="R31" s="656"/>
      <c r="AL31" s="464"/>
      <c r="AN31" s="576"/>
      <c r="AO31" s="577"/>
      <c r="AQ31" s="91"/>
      <c r="AT31" s="578"/>
      <c r="AU31" s="91"/>
      <c r="AW31" s="578"/>
      <c r="AX31" s="578"/>
      <c r="AY31" s="91"/>
      <c r="BA31" s="578"/>
      <c r="BB31" s="578"/>
      <c r="BC31" s="91"/>
      <c r="BE31" s="578"/>
      <c r="BF31" s="578"/>
      <c r="BG31" s="91"/>
      <c r="BI31" s="578"/>
      <c r="BJ31" s="578"/>
      <c r="BK31" s="91"/>
      <c r="BM31" s="578"/>
      <c r="BN31" s="578"/>
      <c r="BO31" s="91"/>
      <c r="BQ31" s="578"/>
      <c r="BR31" s="578"/>
      <c r="BS31" s="91"/>
      <c r="BU31" s="578"/>
      <c r="BV31" s="578"/>
      <c r="BW31" s="578"/>
      <c r="BX31" s="578"/>
      <c r="BY31" s="578"/>
      <c r="BZ31" s="578"/>
      <c r="CA31" s="578"/>
      <c r="CB31" s="578"/>
      <c r="CD31" s="578"/>
      <c r="CE31" s="578"/>
      <c r="CF31" s="578"/>
      <c r="CG31" s="578"/>
      <c r="FG31" s="446">
        <f t="shared" si="84"/>
        <v>26</v>
      </c>
      <c r="FH31" s="657"/>
      <c r="FI31" s="658" t="s">
        <v>239</v>
      </c>
      <c r="FJ31" s="479">
        <f>SUM(FJ26:FJ30)</f>
        <v>345522.09460000001</v>
      </c>
      <c r="FK31" s="479">
        <f>SUM(FK26:FK30)</f>
        <v>375848.41</v>
      </c>
      <c r="FL31" s="479">
        <f>SUM(FL26:FL30)</f>
        <v>220432.21</v>
      </c>
      <c r="FM31" s="501">
        <f t="shared" si="126"/>
        <v>941802.71460000006</v>
      </c>
      <c r="FN31" s="479">
        <v>268391.99460000003</v>
      </c>
      <c r="FO31" s="479">
        <v>125854.66</v>
      </c>
      <c r="FP31" s="479">
        <v>200364.21000000002</v>
      </c>
      <c r="FQ31" s="479">
        <v>594610.86460000009</v>
      </c>
      <c r="FR31" s="479">
        <v>594610.86460000009</v>
      </c>
      <c r="FS31" s="103"/>
      <c r="FT31" s="408"/>
      <c r="JE31" s="20"/>
      <c r="JF31" s="20"/>
      <c r="JG31" s="20"/>
      <c r="JH31" s="20"/>
      <c r="JI31" s="344"/>
      <c r="JJ31" s="518"/>
      <c r="KN31" s="279"/>
      <c r="KO31" s="279"/>
      <c r="KP31" s="279"/>
      <c r="KQ31" s="279"/>
      <c r="KR31" s="279"/>
      <c r="KS31" s="279"/>
      <c r="KT31" s="279"/>
      <c r="KU31" s="279"/>
      <c r="KV31" s="279"/>
      <c r="KW31" s="279"/>
      <c r="KX31" s="279"/>
      <c r="KY31" s="279"/>
      <c r="KZ31" s="279"/>
      <c r="LA31" s="279"/>
      <c r="LL31" s="518"/>
      <c r="LN31" s="518"/>
      <c r="LO31" s="518"/>
      <c r="MA31" s="107"/>
      <c r="MX31" s="283">
        <f t="shared" si="131"/>
        <v>25</v>
      </c>
      <c r="MY31" s="32" t="s">
        <v>269</v>
      </c>
      <c r="MZ31" s="32">
        <v>136637688.37609816</v>
      </c>
      <c r="NA31" s="638">
        <f>MZ31/$MZ$34*100</f>
        <v>6.2383167242179116</v>
      </c>
      <c r="NB31" s="97"/>
      <c r="NC31" s="26"/>
      <c r="ND31" s="660"/>
      <c r="NH31" s="483">
        <f>NH30+1</f>
        <v>25</v>
      </c>
      <c r="NI31" s="32" t="str">
        <f>MY31</f>
        <v>Total Revenue at Current Rates</v>
      </c>
      <c r="NJ31" s="32">
        <v>106708111.01526074</v>
      </c>
      <c r="NK31" s="32">
        <f>MZ31</f>
        <v>136637688.37609816</v>
      </c>
      <c r="NL31" s="32">
        <f t="shared" si="77"/>
        <v>29929577.360837415</v>
      </c>
      <c r="NM31" s="575">
        <f t="shared" si="78"/>
        <v>0.28048080952868776</v>
      </c>
    </row>
    <row r="32" spans="2:377" x14ac:dyDescent="0.3">
      <c r="AL32" s="464"/>
      <c r="AN32" s="438"/>
      <c r="AT32" s="661"/>
      <c r="AW32" s="661"/>
      <c r="AX32" s="351"/>
      <c r="BA32" s="661"/>
      <c r="BB32" s="351"/>
      <c r="BE32" s="661"/>
      <c r="BF32" s="351"/>
      <c r="BI32" s="661"/>
      <c r="BJ32" s="351"/>
      <c r="BM32" s="661"/>
      <c r="BN32" s="351"/>
      <c r="BQ32" s="661"/>
      <c r="BR32" s="351"/>
      <c r="BU32" s="661"/>
      <c r="BV32" s="351"/>
      <c r="BW32" s="351"/>
      <c r="BX32" s="351"/>
      <c r="BY32" s="351"/>
      <c r="BZ32" s="351"/>
      <c r="CA32" s="351"/>
      <c r="CB32" s="351"/>
      <c r="CD32" s="661"/>
      <c r="CE32" s="351"/>
      <c r="CF32" s="351"/>
      <c r="CG32" s="351"/>
      <c r="FG32" s="283">
        <f t="shared" si="84"/>
        <v>27</v>
      </c>
      <c r="FH32" s="285" t="s">
        <v>270</v>
      </c>
      <c r="FI32" s="297"/>
      <c r="FJ32" s="662"/>
      <c r="FK32" s="662"/>
      <c r="FL32" s="662"/>
      <c r="FM32" s="663"/>
      <c r="FN32" s="662"/>
      <c r="FO32" s="662"/>
      <c r="FP32" s="662"/>
      <c r="FQ32" s="662"/>
      <c r="FR32" s="662"/>
      <c r="FS32" s="103"/>
      <c r="FT32" s="408"/>
      <c r="JE32" s="20"/>
      <c r="JF32" s="20"/>
      <c r="JG32" s="20"/>
      <c r="JH32" s="20"/>
      <c r="JI32" s="344"/>
      <c r="KM32" s="279"/>
      <c r="KN32" s="279"/>
      <c r="KO32" s="279"/>
      <c r="KP32" s="279"/>
      <c r="KQ32" s="279"/>
      <c r="KR32" s="279"/>
      <c r="KS32" s="279"/>
      <c r="KT32" s="279"/>
      <c r="KU32" s="279"/>
      <c r="KV32" s="279"/>
      <c r="KW32" s="279"/>
      <c r="KX32" s="279"/>
      <c r="KY32" s="279"/>
      <c r="KZ32" s="279"/>
      <c r="LA32" s="279"/>
      <c r="LB32" s="279"/>
      <c r="LC32" s="664"/>
      <c r="LD32" s="279"/>
      <c r="LL32" s="518"/>
      <c r="LN32" s="518"/>
      <c r="LO32" s="518"/>
      <c r="MA32" s="351"/>
      <c r="MX32" s="446">
        <f>MX31+1</f>
        <v>26</v>
      </c>
      <c r="MY32" s="665" t="s">
        <v>271</v>
      </c>
      <c r="MZ32" s="665">
        <f>MZ30/MZ9-1</f>
        <v>-0.17913819345108584</v>
      </c>
      <c r="NA32" s="665"/>
      <c r="NB32" s="453"/>
      <c r="NC32" s="666">
        <f>(NC9)/NC30-1</f>
        <v>0</v>
      </c>
      <c r="ND32" s="665"/>
      <c r="NH32" s="446">
        <f t="shared" si="132"/>
        <v>26</v>
      </c>
      <c r="NI32" s="665" t="str">
        <f>MY32</f>
        <v>Proposed Rate Increase</v>
      </c>
      <c r="NJ32" s="36">
        <v>0.31098299636767157</v>
      </c>
      <c r="NK32" s="665">
        <f>MZ32</f>
        <v>-0.17913819345108584</v>
      </c>
      <c r="NL32" s="665">
        <f t="shared" si="77"/>
        <v>-0.49012118981875741</v>
      </c>
      <c r="NM32" s="667"/>
    </row>
    <row r="33" spans="38:377" x14ac:dyDescent="0.3">
      <c r="AL33" s="464"/>
      <c r="AN33" s="438"/>
      <c r="AT33" s="661"/>
      <c r="AW33" s="661"/>
      <c r="AX33" s="351"/>
      <c r="BA33" s="661"/>
      <c r="BB33" s="351"/>
      <c r="BE33" s="661"/>
      <c r="BF33" s="351"/>
      <c r="BI33" s="661"/>
      <c r="BJ33" s="351"/>
      <c r="BM33" s="661"/>
      <c r="BN33" s="351"/>
      <c r="BQ33" s="661"/>
      <c r="BR33" s="351"/>
      <c r="BU33" s="661"/>
      <c r="BV33" s="351"/>
      <c r="BW33" s="351"/>
      <c r="BX33" s="351"/>
      <c r="BY33" s="351"/>
      <c r="BZ33" s="351"/>
      <c r="CA33" s="351"/>
      <c r="CB33" s="351"/>
      <c r="CD33" s="661"/>
      <c r="CE33" s="351"/>
      <c r="CF33" s="351"/>
      <c r="CG33" s="351"/>
      <c r="EB33" s="668"/>
      <c r="FG33" s="338">
        <f t="shared" si="84"/>
        <v>28</v>
      </c>
      <c r="FH33" s="360"/>
      <c r="FI33" s="361" t="s">
        <v>272</v>
      </c>
      <c r="FJ33" s="20">
        <v>18180.79</v>
      </c>
      <c r="FK33" s="20">
        <v>0</v>
      </c>
      <c r="FL33" s="20">
        <v>511037.56</v>
      </c>
      <c r="FM33" s="343">
        <f>FJ33+FL33+FK33</f>
        <v>529218.35</v>
      </c>
      <c r="FN33" s="20">
        <v>18180.79</v>
      </c>
      <c r="FO33" s="20">
        <v>0</v>
      </c>
      <c r="FP33" s="20">
        <v>511037.56000000006</v>
      </c>
      <c r="FQ33" s="20">
        <v>529218.35000000009</v>
      </c>
      <c r="FR33" s="20">
        <v>529218.35000000009</v>
      </c>
      <c r="FT33" s="408"/>
      <c r="JH33" s="518"/>
      <c r="JJ33" s="518"/>
      <c r="KL33" s="669"/>
      <c r="KM33" s="670"/>
      <c r="KN33" s="279"/>
      <c r="KO33" s="279"/>
      <c r="KP33" s="279"/>
      <c r="KQ33" s="279"/>
      <c r="KR33" s="279"/>
      <c r="KS33" s="279"/>
      <c r="KT33" s="279"/>
      <c r="KU33" s="279"/>
      <c r="KV33" s="279"/>
      <c r="KW33" s="279"/>
      <c r="KX33" s="279"/>
      <c r="KY33" s="279"/>
      <c r="KZ33" s="279"/>
      <c r="LA33" s="279"/>
      <c r="LB33" s="670"/>
      <c r="LC33" s="669"/>
      <c r="LD33" s="670"/>
      <c r="LL33" s="518"/>
      <c r="LN33" s="518"/>
      <c r="LO33" s="518"/>
      <c r="MX33" s="88" t="s">
        <v>241</v>
      </c>
      <c r="MY33" s="88"/>
      <c r="MZ33" s="88"/>
      <c r="NA33" s="88"/>
      <c r="NB33" s="88"/>
      <c r="NC33" s="88"/>
      <c r="ND33" s="88"/>
      <c r="NH33" s="88" t="s">
        <v>241</v>
      </c>
      <c r="NI33" s="461"/>
      <c r="NJ33" s="461"/>
      <c r="NK33" s="461"/>
      <c r="NL33" s="671"/>
      <c r="NM33" s="671"/>
    </row>
    <row r="34" spans="38:377" x14ac:dyDescent="0.3">
      <c r="AL34" s="464"/>
      <c r="AN34" s="438"/>
      <c r="AT34" s="661"/>
      <c r="AW34" s="661"/>
      <c r="AX34" s="351"/>
      <c r="BA34" s="661"/>
      <c r="BB34" s="351"/>
      <c r="BE34" s="661"/>
      <c r="BF34" s="351"/>
      <c r="BI34" s="661"/>
      <c r="BJ34" s="351"/>
      <c r="BM34" s="661"/>
      <c r="BN34" s="351"/>
      <c r="BQ34" s="661"/>
      <c r="BR34" s="351"/>
      <c r="BU34" s="661"/>
      <c r="BV34" s="351"/>
      <c r="BW34" s="351"/>
      <c r="BX34" s="351"/>
      <c r="BY34" s="351"/>
      <c r="BZ34" s="351"/>
      <c r="CA34" s="351"/>
      <c r="CB34" s="351"/>
      <c r="CD34" s="661"/>
      <c r="CE34" s="351"/>
      <c r="CF34" s="351"/>
      <c r="CG34" s="351"/>
      <c r="FG34" s="283">
        <f t="shared" si="84"/>
        <v>29</v>
      </c>
      <c r="FH34" s="406"/>
      <c r="FI34" s="407" t="s">
        <v>273</v>
      </c>
      <c r="FJ34" s="17">
        <v>26603.350000000002</v>
      </c>
      <c r="FK34" s="17">
        <v>172158.89</v>
      </c>
      <c r="FL34" s="17">
        <v>314965.26</v>
      </c>
      <c r="FM34" s="290">
        <f>FJ34+FL34+FK34</f>
        <v>513727.5</v>
      </c>
      <c r="FN34" s="17">
        <v>26603.35</v>
      </c>
      <c r="FO34" s="17">
        <v>172158.88999999998</v>
      </c>
      <c r="FP34" s="17">
        <v>282086.93</v>
      </c>
      <c r="FQ34" s="17">
        <v>480849.16999999993</v>
      </c>
      <c r="FR34" s="17">
        <v>480849.16999999993</v>
      </c>
      <c r="FS34" s="103"/>
      <c r="FT34" s="408"/>
      <c r="JH34" s="518"/>
      <c r="JJ34" s="518"/>
      <c r="KL34" s="143"/>
      <c r="KM34" s="109"/>
      <c r="KN34" s="279"/>
      <c r="KO34" s="279"/>
      <c r="KP34" s="279"/>
      <c r="KQ34" s="279"/>
      <c r="KR34" s="279"/>
      <c r="KS34" s="279"/>
      <c r="KT34" s="279"/>
      <c r="KU34" s="279"/>
      <c r="KV34" s="279"/>
      <c r="KW34" s="279"/>
      <c r="KX34" s="279"/>
      <c r="KY34" s="279"/>
      <c r="KZ34" s="279"/>
      <c r="LA34" s="279"/>
      <c r="LB34" s="109"/>
      <c r="LC34" s="110"/>
      <c r="LD34" s="109"/>
      <c r="LL34" s="518"/>
      <c r="LN34" s="518"/>
      <c r="LO34" s="518"/>
      <c r="MX34" s="283">
        <f>MX32+1</f>
        <v>27</v>
      </c>
      <c r="MY34" s="672" t="s">
        <v>119</v>
      </c>
      <c r="MZ34" s="958">
        <f>KF26</f>
        <v>2190297389.769485</v>
      </c>
      <c r="NA34" s="958"/>
      <c r="NB34" s="37"/>
      <c r="NC34" s="673"/>
      <c r="ND34" s="37">
        <f>MZ34</f>
        <v>2190297389.769485</v>
      </c>
      <c r="NH34" s="283">
        <f>NH32+1</f>
        <v>27</v>
      </c>
      <c r="NI34" s="672" t="str">
        <f>MY34</f>
        <v>Target Year Volume</v>
      </c>
      <c r="NJ34" s="37">
        <v>2182672674</v>
      </c>
      <c r="NK34" s="37">
        <f>MZ34</f>
        <v>2190297389.769485</v>
      </c>
      <c r="NL34" s="903">
        <f t="shared" ref="NL34" si="136">NK34-NJ34</f>
        <v>7624715.7694849968</v>
      </c>
      <c r="NM34" s="674">
        <f t="shared" ref="NM34:NM35" si="137">NL34/NJ34</f>
        <v>3.4932932731098995E-3</v>
      </c>
    </row>
    <row r="35" spans="38:377" ht="17.25" thickBot="1" x14ac:dyDescent="0.35">
      <c r="AL35" s="464"/>
      <c r="AN35" s="438"/>
      <c r="AT35" s="661"/>
      <c r="AW35" s="661"/>
      <c r="AX35" s="351"/>
      <c r="BA35" s="661"/>
      <c r="BB35" s="351"/>
      <c r="BE35" s="661"/>
      <c r="BF35" s="351"/>
      <c r="BI35" s="661"/>
      <c r="BJ35" s="351"/>
      <c r="BM35" s="661"/>
      <c r="BN35" s="351"/>
      <c r="BQ35" s="661"/>
      <c r="BR35" s="351"/>
      <c r="BU35" s="661"/>
      <c r="BV35" s="351"/>
      <c r="BW35" s="351"/>
      <c r="BX35" s="351"/>
      <c r="BY35" s="351"/>
      <c r="BZ35" s="351"/>
      <c r="CA35" s="351"/>
      <c r="CB35" s="351"/>
      <c r="CD35" s="661"/>
      <c r="CE35" s="351"/>
      <c r="CF35" s="351"/>
      <c r="CG35" s="351"/>
      <c r="FG35" s="456">
        <f t="shared" si="84"/>
        <v>30</v>
      </c>
      <c r="FH35" s="675"/>
      <c r="FI35" s="676" t="s">
        <v>239</v>
      </c>
      <c r="FJ35" s="479">
        <f>SUM(FJ33:FJ34)</f>
        <v>44784.14</v>
      </c>
      <c r="FK35" s="479">
        <f>SUM(FK33:FK34)</f>
        <v>172158.89</v>
      </c>
      <c r="FL35" s="479">
        <f>SUM(FL33:FL34)</f>
        <v>826002.82000000007</v>
      </c>
      <c r="FM35" s="501">
        <f>FJ35+FL35+FK35</f>
        <v>1042945.8500000001</v>
      </c>
      <c r="FN35" s="479">
        <v>44784.14</v>
      </c>
      <c r="FO35" s="479">
        <v>172158.88999999998</v>
      </c>
      <c r="FP35" s="479">
        <v>793124.49</v>
      </c>
      <c r="FQ35" s="479">
        <v>1010067.52</v>
      </c>
      <c r="FR35" s="479">
        <v>1010067.52</v>
      </c>
      <c r="FT35" s="408"/>
      <c r="JH35" s="518"/>
      <c r="JJ35" s="518"/>
      <c r="KM35" s="279"/>
      <c r="KN35" s="279"/>
      <c r="KO35" s="279"/>
      <c r="KP35" s="279"/>
      <c r="KQ35" s="279"/>
      <c r="KR35" s="279"/>
      <c r="KS35" s="279"/>
      <c r="KT35" s="279"/>
      <c r="KU35" s="279"/>
      <c r="KV35" s="279"/>
      <c r="KW35" s="279"/>
      <c r="KX35" s="279"/>
      <c r="KY35" s="279"/>
      <c r="KZ35" s="279"/>
      <c r="LA35" s="279"/>
      <c r="LB35" s="279"/>
      <c r="LC35" s="664"/>
      <c r="LD35" s="279"/>
      <c r="LL35" s="518"/>
      <c r="LN35" s="518"/>
      <c r="LO35" s="518"/>
      <c r="MX35" s="421">
        <f>MX34+1</f>
        <v>28</v>
      </c>
      <c r="MY35" s="678" t="s">
        <v>248</v>
      </c>
      <c r="MZ35" s="954">
        <f>KD26</f>
        <v>221</v>
      </c>
      <c r="NA35" s="954"/>
      <c r="NB35" s="38"/>
      <c r="NC35" s="679"/>
      <c r="ND35" s="38">
        <f>MZ35</f>
        <v>221</v>
      </c>
      <c r="NH35" s="421">
        <f>NH34+1</f>
        <v>28</v>
      </c>
      <c r="NI35" s="678" t="str">
        <f>MY35</f>
        <v>Number of Depots</v>
      </c>
      <c r="NJ35" s="38">
        <v>222</v>
      </c>
      <c r="NK35" s="38">
        <f>MZ35</f>
        <v>221</v>
      </c>
      <c r="NL35" s="680">
        <f>NK35-NJ35</f>
        <v>-1</v>
      </c>
      <c r="NM35" s="681">
        <f t="shared" si="137"/>
        <v>-4.5045045045045045E-3</v>
      </c>
    </row>
    <row r="36" spans="38:377" x14ac:dyDescent="0.3">
      <c r="AL36" s="464"/>
      <c r="AN36" s="438"/>
      <c r="AT36" s="661"/>
      <c r="AW36" s="661"/>
      <c r="AX36" s="351"/>
      <c r="BA36" s="661"/>
      <c r="BB36" s="351"/>
      <c r="BE36" s="661"/>
      <c r="BF36" s="351"/>
      <c r="BI36" s="661"/>
      <c r="BJ36" s="351"/>
      <c r="BM36" s="661"/>
      <c r="BN36" s="351"/>
      <c r="BQ36" s="661"/>
      <c r="BR36" s="351"/>
      <c r="BU36" s="661"/>
      <c r="BV36" s="351"/>
      <c r="BW36" s="351"/>
      <c r="BX36" s="351"/>
      <c r="BY36" s="351"/>
      <c r="BZ36" s="351"/>
      <c r="CA36" s="351"/>
      <c r="CB36" s="351"/>
      <c r="CD36" s="661"/>
      <c r="CE36" s="351"/>
      <c r="CF36" s="351"/>
      <c r="CG36" s="351"/>
      <c r="FG36" s="338"/>
      <c r="FH36" s="360"/>
      <c r="FI36" s="1005"/>
      <c r="FJ36" s="479"/>
      <c r="FK36" s="479"/>
      <c r="FL36" s="479"/>
      <c r="FM36" s="501"/>
      <c r="FN36" s="479"/>
      <c r="FO36" s="479"/>
      <c r="FP36" s="479"/>
      <c r="FQ36" s="479"/>
      <c r="FR36" s="479"/>
      <c r="FT36" s="408"/>
      <c r="JH36" s="518"/>
      <c r="JJ36" s="518"/>
      <c r="KM36" s="279"/>
      <c r="KN36" s="279"/>
      <c r="KO36" s="279"/>
      <c r="KP36" s="279"/>
      <c r="KQ36" s="279"/>
      <c r="KR36" s="279"/>
      <c r="KS36" s="279"/>
      <c r="KT36" s="279"/>
      <c r="KU36" s="279"/>
      <c r="KV36" s="279"/>
      <c r="KW36" s="279"/>
      <c r="KX36" s="279"/>
      <c r="KY36" s="279"/>
      <c r="KZ36" s="279"/>
      <c r="LA36" s="279"/>
      <c r="LB36" s="279"/>
      <c r="LC36" s="664"/>
      <c r="LD36" s="279"/>
      <c r="LL36" s="518"/>
      <c r="LN36" s="518"/>
      <c r="LO36" s="518"/>
      <c r="MX36" s="338"/>
      <c r="MY36" s="1006"/>
      <c r="MZ36" s="1007"/>
      <c r="NA36" s="1007"/>
      <c r="NB36" s="1008"/>
      <c r="NC36" s="1009"/>
      <c r="ND36" s="1008"/>
      <c r="NH36" s="338"/>
      <c r="NI36" s="1006"/>
      <c r="NJ36" s="1008"/>
      <c r="NK36" s="1008"/>
      <c r="NL36" s="1010"/>
      <c r="NM36" s="352"/>
    </row>
    <row r="37" spans="38:377" ht="17.25" thickBot="1" x14ac:dyDescent="0.35">
      <c r="AN37" s="576"/>
      <c r="FG37" s="467">
        <f>FG35+1</f>
        <v>31</v>
      </c>
      <c r="FH37" s="682"/>
      <c r="FI37" s="471" t="s">
        <v>72</v>
      </c>
      <c r="FJ37" s="469">
        <f>FJ20+FJ24+FJ31+FJ35</f>
        <v>1955314.6527999998</v>
      </c>
      <c r="FK37" s="469">
        <f>FK20+FK24+FK31+FK35</f>
        <v>3087185.5686000003</v>
      </c>
      <c r="FL37" s="469">
        <f>FL20+FL24+FL31+FL35</f>
        <v>5219521.7150999997</v>
      </c>
      <c r="FM37" s="470">
        <f>FJ37+FL37+FK37</f>
        <v>10262021.9365</v>
      </c>
      <c r="FN37" s="469">
        <v>1867647.810069697</v>
      </c>
      <c r="FO37" s="469">
        <v>2660485.1605300005</v>
      </c>
      <c r="FP37" s="469">
        <v>5141127.5751</v>
      </c>
      <c r="FQ37" s="469">
        <v>9669260.545699697</v>
      </c>
      <c r="FR37" s="469">
        <v>9669260.545699697</v>
      </c>
      <c r="FT37" s="408"/>
      <c r="JH37" s="518"/>
      <c r="JJ37" s="518"/>
      <c r="KL37" s="683"/>
      <c r="KM37" s="677"/>
      <c r="KN37" s="279"/>
      <c r="KO37" s="279"/>
      <c r="KP37" s="279"/>
      <c r="KQ37" s="279"/>
      <c r="KR37" s="279"/>
      <c r="KS37" s="279"/>
      <c r="KT37" s="279"/>
      <c r="KU37" s="279"/>
      <c r="KV37" s="279"/>
      <c r="KW37" s="279"/>
      <c r="KX37" s="279"/>
      <c r="KY37" s="279"/>
      <c r="KZ37" s="279"/>
      <c r="LA37" s="279"/>
      <c r="LB37" s="677"/>
      <c r="LC37" s="684"/>
      <c r="LD37" s="677"/>
      <c r="LL37" s="518"/>
      <c r="LN37" s="518"/>
      <c r="LO37" s="518"/>
      <c r="MY37" s="91" t="s">
        <v>457</v>
      </c>
    </row>
    <row r="38" spans="38:377" x14ac:dyDescent="0.3">
      <c r="AL38" s="464"/>
      <c r="AN38" s="438"/>
      <c r="AP38" s="685"/>
      <c r="AQ38" s="91"/>
      <c r="AT38" s="326"/>
      <c r="AV38" s="686"/>
      <c r="AW38" s="326"/>
      <c r="AX38" s="351"/>
      <c r="AZ38" s="686"/>
      <c r="BA38" s="326"/>
      <c r="BB38" s="351"/>
      <c r="BD38" s="686"/>
      <c r="BE38" s="326"/>
      <c r="BF38" s="351"/>
      <c r="BH38" s="686"/>
      <c r="BI38" s="326"/>
      <c r="BJ38" s="351"/>
      <c r="BL38" s="686"/>
      <c r="BM38" s="326"/>
      <c r="BN38" s="351"/>
      <c r="BP38" s="686"/>
      <c r="BQ38" s="326"/>
      <c r="BR38" s="351"/>
      <c r="BT38" s="686"/>
      <c r="BU38" s="326"/>
      <c r="BV38" s="351"/>
      <c r="BW38" s="351"/>
      <c r="BX38" s="351"/>
      <c r="BY38" s="351"/>
      <c r="BZ38" s="351"/>
      <c r="CA38" s="351"/>
      <c r="CB38" s="351"/>
      <c r="CC38" s="686"/>
      <c r="CD38" s="326"/>
      <c r="CE38" s="351"/>
      <c r="CF38" s="351"/>
      <c r="CG38" s="351"/>
      <c r="JH38" s="518"/>
      <c r="JJ38" s="518"/>
      <c r="KL38" s="683"/>
      <c r="KM38" s="677"/>
      <c r="KN38" s="279"/>
      <c r="KO38" s="279"/>
      <c r="KP38" s="279"/>
      <c r="KQ38" s="279"/>
      <c r="KR38" s="279"/>
      <c r="KS38" s="279"/>
      <c r="KT38" s="279"/>
      <c r="KU38" s="279"/>
      <c r="KV38" s="279"/>
      <c r="KW38" s="279"/>
      <c r="KX38" s="279"/>
      <c r="KY38" s="279"/>
      <c r="KZ38" s="279"/>
      <c r="LA38" s="279"/>
      <c r="LB38" s="677"/>
      <c r="LC38" s="684"/>
      <c r="LD38" s="677"/>
      <c r="LL38" s="518"/>
      <c r="LN38" s="518"/>
      <c r="LO38" s="518"/>
      <c r="MY38" s="572" t="s">
        <v>254</v>
      </c>
      <c r="MZ38" s="31">
        <v>113162003.07033257</v>
      </c>
      <c r="NA38" s="573">
        <v>5.1371628933547182</v>
      </c>
      <c r="NB38" s="96"/>
      <c r="NC38" s="96"/>
      <c r="ND38" s="96"/>
    </row>
    <row r="39" spans="38:377" x14ac:dyDescent="0.3">
      <c r="AL39" s="464"/>
      <c r="AN39" s="438"/>
      <c r="AQ39" s="91"/>
      <c r="BU39" s="347"/>
      <c r="CD39" s="347"/>
      <c r="FT39" s="408"/>
      <c r="JH39" s="518"/>
      <c r="JJ39" s="518"/>
      <c r="KL39" s="683"/>
      <c r="KM39" s="677"/>
      <c r="KN39" s="677"/>
      <c r="KO39" s="677"/>
      <c r="KP39" s="677"/>
      <c r="KQ39" s="677"/>
      <c r="KR39" s="677"/>
      <c r="KT39" s="641"/>
      <c r="KU39" s="641"/>
      <c r="KV39" s="641"/>
      <c r="KW39" s="641"/>
      <c r="KX39" s="641"/>
      <c r="KY39" s="641"/>
      <c r="KZ39" s="677"/>
      <c r="LA39" s="677"/>
      <c r="LB39" s="677"/>
      <c r="LC39" s="684"/>
      <c r="LD39" s="677"/>
      <c r="LL39" s="518"/>
      <c r="LN39" s="518"/>
      <c r="LO39" s="518"/>
      <c r="MY39" s="20" t="s">
        <v>257</v>
      </c>
      <c r="MZ39" s="20">
        <v>0</v>
      </c>
      <c r="NA39" s="414">
        <v>0</v>
      </c>
      <c r="NB39" s="96"/>
      <c r="NC39" s="96"/>
      <c r="ND39" s="96"/>
    </row>
    <row r="40" spans="38:377" x14ac:dyDescent="0.3">
      <c r="JH40" s="518"/>
      <c r="JJ40" s="518"/>
      <c r="KL40" s="683"/>
      <c r="KM40" s="677"/>
      <c r="KN40" s="677"/>
      <c r="KO40" s="677"/>
      <c r="KP40" s="677"/>
      <c r="KQ40" s="677"/>
      <c r="KR40" s="677"/>
      <c r="KT40" s="641"/>
      <c r="KU40" s="641"/>
      <c r="KV40" s="641"/>
      <c r="KW40" s="641"/>
      <c r="KX40" s="641"/>
      <c r="KY40" s="641"/>
      <c r="KZ40" s="677"/>
      <c r="LA40" s="677"/>
      <c r="LB40" s="677"/>
      <c r="LC40" s="684"/>
      <c r="LD40" s="677"/>
      <c r="LL40" s="518"/>
      <c r="LN40" s="518"/>
      <c r="LO40" s="518"/>
      <c r="MH40" s="687"/>
      <c r="MI40" s="687"/>
      <c r="MJ40" s="687"/>
      <c r="MK40" s="687"/>
      <c r="MY40" s="32" t="s">
        <v>262</v>
      </c>
      <c r="MZ40" s="32">
        <v>0</v>
      </c>
      <c r="NA40" s="638">
        <v>0</v>
      </c>
      <c r="NB40" s="96"/>
      <c r="NC40" s="96"/>
      <c r="ND40" s="96"/>
    </row>
    <row r="41" spans="38:377" x14ac:dyDescent="0.3">
      <c r="AL41" s="464"/>
      <c r="JH41" s="518"/>
      <c r="JJ41" s="518"/>
      <c r="KT41" s="641"/>
      <c r="KU41" s="641"/>
      <c r="KV41" s="641"/>
      <c r="KW41" s="641"/>
      <c r="KX41" s="641"/>
      <c r="KY41" s="641"/>
      <c r="LL41" s="518"/>
      <c r="LN41" s="518"/>
      <c r="LO41" s="518"/>
      <c r="MH41" s="687"/>
      <c r="MI41" s="687"/>
      <c r="MJ41" s="687"/>
      <c r="MK41" s="687"/>
      <c r="MY41" s="647" t="s">
        <v>264</v>
      </c>
      <c r="MZ41" s="648">
        <v>113162003.07033257</v>
      </c>
      <c r="NA41" s="649">
        <v>5.1371628933547182</v>
      </c>
      <c r="NB41" s="96"/>
      <c r="NC41" s="96"/>
      <c r="ND41" s="96"/>
    </row>
    <row r="42" spans="38:377" x14ac:dyDescent="0.3">
      <c r="AL42" s="688"/>
      <c r="JH42" s="518"/>
      <c r="JJ42" s="518"/>
      <c r="KT42" s="641"/>
      <c r="KU42" s="641"/>
      <c r="KV42" s="641"/>
      <c r="KW42" s="641"/>
      <c r="KX42" s="641"/>
      <c r="KY42" s="641"/>
      <c r="LL42" s="518"/>
      <c r="LN42" s="518"/>
      <c r="LO42" s="518"/>
      <c r="MH42" s="687"/>
      <c r="MI42" s="689"/>
      <c r="MJ42" s="690"/>
      <c r="MK42" s="691"/>
      <c r="MY42" s="444" t="s">
        <v>266</v>
      </c>
      <c r="MZ42" s="652">
        <v>4758928.0499999989</v>
      </c>
      <c r="NA42" s="509">
        <v>0.2160388463202649</v>
      </c>
      <c r="NB42" s="96"/>
      <c r="NC42" s="96"/>
      <c r="ND42" s="96"/>
    </row>
    <row r="43" spans="38:377" x14ac:dyDescent="0.3">
      <c r="AL43" s="464"/>
      <c r="JH43" s="518"/>
      <c r="JJ43" s="518"/>
      <c r="KT43" s="641"/>
      <c r="KU43" s="641"/>
      <c r="KV43" s="641"/>
      <c r="KW43" s="641"/>
      <c r="KX43" s="641"/>
      <c r="KY43" s="641"/>
      <c r="LL43" s="518"/>
      <c r="LN43" s="518"/>
      <c r="LO43" s="518"/>
      <c r="MH43" s="687"/>
      <c r="MI43" s="690"/>
      <c r="MJ43" s="690"/>
      <c r="MK43" s="691"/>
      <c r="MY43" s="647" t="s">
        <v>268</v>
      </c>
      <c r="MZ43" s="648">
        <v>108403075.02033257</v>
      </c>
      <c r="NA43" s="649">
        <v>4.9211240470344544</v>
      </c>
      <c r="NB43" s="96"/>
      <c r="NC43" s="96"/>
      <c r="ND43" s="96"/>
    </row>
    <row r="44" spans="38:377" x14ac:dyDescent="0.3">
      <c r="JH44" s="518"/>
      <c r="JJ44" s="518"/>
      <c r="KT44" s="641"/>
      <c r="KU44" s="641"/>
      <c r="KV44" s="641"/>
      <c r="KW44" s="641"/>
      <c r="KX44" s="641"/>
      <c r="KY44" s="641"/>
      <c r="LL44" s="518"/>
      <c r="LN44" s="518"/>
      <c r="LO44" s="518"/>
      <c r="MH44" s="687"/>
      <c r="MI44" s="689"/>
      <c r="MJ44" s="689"/>
      <c r="MK44" s="691"/>
      <c r="MY44" s="32" t="s">
        <v>269</v>
      </c>
      <c r="MZ44" s="32">
        <v>136637688.37609816</v>
      </c>
      <c r="NA44" s="638">
        <v>6.2028776754967172</v>
      </c>
      <c r="NB44" s="96"/>
      <c r="NC44" s="96"/>
      <c r="ND44" s="96"/>
    </row>
    <row r="45" spans="38:377" x14ac:dyDescent="0.3">
      <c r="JH45" s="518"/>
      <c r="JJ45" s="518"/>
      <c r="KT45" s="641"/>
      <c r="KU45" s="641"/>
      <c r="KV45" s="641"/>
      <c r="KW45" s="641"/>
      <c r="KX45" s="641"/>
      <c r="KY45" s="641"/>
      <c r="LL45" s="518"/>
      <c r="LN45" s="518"/>
      <c r="LO45" s="518"/>
      <c r="MH45" s="687"/>
      <c r="MI45" s="687"/>
      <c r="MJ45" s="687"/>
      <c r="MK45" s="691"/>
      <c r="MY45" s="665" t="s">
        <v>271</v>
      </c>
      <c r="MZ45" s="665">
        <v>-0.17673177638173754</v>
      </c>
      <c r="NA45" s="665"/>
      <c r="NB45" s="96"/>
      <c r="NC45" s="96"/>
      <c r="ND45" s="96"/>
      <c r="NI45" s="113"/>
    </row>
    <row r="46" spans="38:377" x14ac:dyDescent="0.3">
      <c r="KT46" s="641"/>
      <c r="KU46" s="641"/>
      <c r="KV46" s="641"/>
      <c r="KW46" s="641"/>
      <c r="KX46" s="641"/>
      <c r="KY46" s="641"/>
      <c r="LL46" s="518"/>
      <c r="LN46" s="518"/>
      <c r="LO46" s="518"/>
      <c r="MH46" s="687"/>
      <c r="MI46" s="687"/>
      <c r="MJ46" s="687"/>
      <c r="MK46" s="687"/>
      <c r="MY46" s="88"/>
      <c r="MZ46" s="88"/>
      <c r="NA46" s="88"/>
      <c r="NB46" s="96"/>
      <c r="NC46" s="96"/>
      <c r="ND46" s="96"/>
    </row>
    <row r="47" spans="38:377" x14ac:dyDescent="0.3">
      <c r="KT47" s="641"/>
      <c r="KU47" s="641"/>
      <c r="KV47" s="641"/>
      <c r="KW47" s="641"/>
      <c r="KX47" s="641"/>
      <c r="KY47" s="641"/>
      <c r="LL47" s="518"/>
      <c r="LN47" s="518"/>
      <c r="LO47" s="518"/>
      <c r="MY47" s="672" t="s">
        <v>119</v>
      </c>
      <c r="MZ47" s="958">
        <v>2202811268</v>
      </c>
      <c r="NA47" s="958"/>
      <c r="NB47" s="96"/>
      <c r="NC47" s="96"/>
      <c r="ND47" s="96"/>
      <c r="NI47" s="113"/>
    </row>
    <row r="48" spans="38:377" x14ac:dyDescent="0.3">
      <c r="KT48" s="641"/>
      <c r="KU48" s="641"/>
      <c r="KV48" s="641"/>
      <c r="KW48" s="641"/>
      <c r="KX48" s="641"/>
      <c r="KY48" s="641"/>
      <c r="LL48" s="518"/>
      <c r="LN48" s="518"/>
      <c r="LO48" s="518"/>
      <c r="MZ48" s="96"/>
      <c r="NA48" s="96"/>
      <c r="NB48" s="96"/>
      <c r="NC48" s="96"/>
      <c r="ND48" s="96"/>
    </row>
    <row r="49" spans="306:380" x14ac:dyDescent="0.3">
      <c r="KT49" s="641"/>
      <c r="KU49" s="641"/>
      <c r="KV49" s="641"/>
      <c r="KW49" s="641"/>
      <c r="KX49" s="641"/>
      <c r="KY49" s="641"/>
      <c r="LL49" s="518"/>
      <c r="LN49" s="518"/>
      <c r="LO49" s="518"/>
      <c r="MY49" s="91" t="s">
        <v>449</v>
      </c>
      <c r="MZ49" s="950">
        <f>MZ28-MZ38</f>
        <v>-316862.72178985178</v>
      </c>
      <c r="NA49" s="694"/>
      <c r="NH49" s="98"/>
      <c r="NI49" s="695"/>
    </row>
    <row r="50" spans="306:380" x14ac:dyDescent="0.3">
      <c r="KT50" s="641"/>
      <c r="KU50" s="641"/>
      <c r="KV50" s="641"/>
      <c r="KW50" s="641"/>
      <c r="KX50" s="641"/>
      <c r="KY50" s="641"/>
      <c r="LL50" s="518"/>
      <c r="LN50" s="518"/>
      <c r="LO50" s="518"/>
      <c r="MZ50" s="20"/>
      <c r="NA50" s="692"/>
      <c r="NI50" s="695"/>
    </row>
    <row r="51" spans="306:380" x14ac:dyDescent="0.3">
      <c r="KT51" s="641"/>
      <c r="KU51" s="641"/>
      <c r="LL51" s="518"/>
      <c r="LN51" s="518"/>
      <c r="LO51" s="518"/>
      <c r="MP51" s="337"/>
      <c r="MQ51" s="98"/>
      <c r="MU51" s="98"/>
      <c r="MV51" s="337"/>
      <c r="MW51" s="98"/>
      <c r="MZ51" s="693"/>
      <c r="NA51" s="694"/>
      <c r="NH51" s="98"/>
      <c r="NI51" s="695"/>
      <c r="NO51" s="337"/>
      <c r="NP51" s="98"/>
    </row>
    <row r="52" spans="306:380" x14ac:dyDescent="0.3">
      <c r="LL52" s="518"/>
      <c r="LN52" s="518"/>
      <c r="LO52" s="518"/>
      <c r="MR52" s="98"/>
      <c r="MS52" s="98"/>
      <c r="MT52" s="98"/>
      <c r="MZ52" s="20"/>
      <c r="NA52" s="692"/>
      <c r="NG52" s="98"/>
    </row>
    <row r="53" spans="306:380" x14ac:dyDescent="0.3">
      <c r="MP53" s="337"/>
      <c r="MQ53" s="98"/>
      <c r="MU53" s="98"/>
      <c r="MV53" s="337"/>
      <c r="MW53" s="98"/>
      <c r="MZ53" s="693"/>
      <c r="NA53" s="694"/>
      <c r="NF53" s="337"/>
      <c r="NO53" s="337"/>
      <c r="NP53" s="98"/>
    </row>
    <row r="54" spans="306:380" x14ac:dyDescent="0.3">
      <c r="MR54" s="98"/>
      <c r="MS54" s="98"/>
      <c r="MT54" s="98"/>
      <c r="MZ54" s="20"/>
      <c r="NA54" s="692"/>
      <c r="NG54" s="98"/>
    </row>
    <row r="55" spans="306:380" x14ac:dyDescent="0.3">
      <c r="MZ55" s="20"/>
      <c r="NA55" s="692"/>
      <c r="NF55" s="337"/>
    </row>
  </sheetData>
  <mergeCells count="113">
    <mergeCell ref="MZ47:NA47"/>
    <mergeCell ref="F25:G25"/>
    <mergeCell ref="H25:J25"/>
    <mergeCell ref="K25:M25"/>
    <mergeCell ref="N25:P25"/>
    <mergeCell ref="MZ34:NA34"/>
    <mergeCell ref="MZ35:NA35"/>
    <mergeCell ref="BT22:BV22"/>
    <mergeCell ref="BT23:BV23"/>
    <mergeCell ref="F24:G24"/>
    <mergeCell ref="H24:J24"/>
    <mergeCell ref="K24:M24"/>
    <mergeCell ref="N24:P24"/>
    <mergeCell ref="MI3:MK3"/>
    <mergeCell ref="ML3:MN3"/>
    <mergeCell ref="MZ4:NA4"/>
    <mergeCell ref="NC4:ND4"/>
    <mergeCell ref="DH12:DI13"/>
    <mergeCell ref="AN21:CG21"/>
    <mergeCell ref="LQ3:LR3"/>
    <mergeCell ref="LS3:LT3"/>
    <mergeCell ref="LU3:LV3"/>
    <mergeCell ref="LW3:LX3"/>
    <mergeCell ref="LY3:LZ3"/>
    <mergeCell ref="MF3:MH3"/>
    <mergeCell ref="KX3:KY3"/>
    <mergeCell ref="KZ3:LA3"/>
    <mergeCell ref="LI3:LJ3"/>
    <mergeCell ref="LK3:LL3"/>
    <mergeCell ref="LM3:LN3"/>
    <mergeCell ref="LO3:LP3"/>
    <mergeCell ref="JQ3:JR3"/>
    <mergeCell ref="JS3:JT3"/>
    <mergeCell ref="JU3:JW3"/>
    <mergeCell ref="KR3:KS3"/>
    <mergeCell ref="KT3:KU3"/>
    <mergeCell ref="KV3:KW3"/>
    <mergeCell ref="JE3:JF3"/>
    <mergeCell ref="JG3:JH3"/>
    <mergeCell ref="JI3:JJ3"/>
    <mergeCell ref="JK3:JL3"/>
    <mergeCell ref="JM3:JN3"/>
    <mergeCell ref="JO3:JP3"/>
    <mergeCell ref="HO3:HR3"/>
    <mergeCell ref="IN3:IO3"/>
    <mergeCell ref="IP3:IQ3"/>
    <mergeCell ref="IR3:IS3"/>
    <mergeCell ref="IT3:IU3"/>
    <mergeCell ref="IV3:IW3"/>
    <mergeCell ref="GB3:GE3"/>
    <mergeCell ref="GK3:GN3"/>
    <mergeCell ref="GO3:GR3"/>
    <mergeCell ref="GX3:HA3"/>
    <mergeCell ref="HB3:HE3"/>
    <mergeCell ref="HK3:HN3"/>
    <mergeCell ref="ES3:EV3"/>
    <mergeCell ref="EW3:EZ3"/>
    <mergeCell ref="FA3:FC3"/>
    <mergeCell ref="FJ3:FM3"/>
    <mergeCell ref="FN3:FR3"/>
    <mergeCell ref="FX3:GA3"/>
    <mergeCell ref="DJ3:DK3"/>
    <mergeCell ref="DL3:DM3"/>
    <mergeCell ref="DS3:DV3"/>
    <mergeCell ref="DW3:DZ3"/>
    <mergeCell ref="EF3:EI3"/>
    <mergeCell ref="EJ3:EM3"/>
    <mergeCell ref="CC3:CE3"/>
    <mergeCell ref="CF3:CG3"/>
    <mergeCell ref="CM3:CP3"/>
    <mergeCell ref="CQ3:CT3"/>
    <mergeCell ref="CZ3:DA3"/>
    <mergeCell ref="DB3:DD3"/>
    <mergeCell ref="BH3:BJ3"/>
    <mergeCell ref="BL3:BN3"/>
    <mergeCell ref="BP3:BR3"/>
    <mergeCell ref="BT3:BV3"/>
    <mergeCell ref="BW3:BY3"/>
    <mergeCell ref="BZ3:CB3"/>
    <mergeCell ref="NH1:NM2"/>
    <mergeCell ref="F3:G3"/>
    <mergeCell ref="H3:J3"/>
    <mergeCell ref="K3:M3"/>
    <mergeCell ref="N3:P3"/>
    <mergeCell ref="Q3:R3"/>
    <mergeCell ref="AS3:AT3"/>
    <mergeCell ref="AV3:AX3"/>
    <mergeCell ref="AZ3:BB3"/>
    <mergeCell ref="BD3:BF3"/>
    <mergeCell ref="KA1:KJ2"/>
    <mergeCell ref="KN1:LA2"/>
    <mergeCell ref="LE1:LZ2"/>
    <mergeCell ref="MD1:MN2"/>
    <mergeCell ref="MR1:MT2"/>
    <mergeCell ref="MX1:ND2"/>
    <mergeCell ref="GH1:GS1"/>
    <mergeCell ref="GU1:HF1"/>
    <mergeCell ref="HH1:HS1"/>
    <mergeCell ref="HV1:IG2"/>
    <mergeCell ref="IK1:IW2"/>
    <mergeCell ref="JA1:JW1"/>
    <mergeCell ref="DG1:DN1"/>
    <mergeCell ref="DP1:EA1"/>
    <mergeCell ref="ED1:EM1"/>
    <mergeCell ref="EQ1:FC1"/>
    <mergeCell ref="FG1:FR1"/>
    <mergeCell ref="FU1:GF1"/>
    <mergeCell ref="B1:R1"/>
    <mergeCell ref="W1:AA1"/>
    <mergeCell ref="AF1:AJ1"/>
    <mergeCell ref="AN1:CG1"/>
    <mergeCell ref="CJ1:CU1"/>
    <mergeCell ref="CW1:DE1"/>
  </mergeCells>
  <conditionalFormatting sqref="AM3:CH4">
    <cfRule type="cellIs" dxfId="77" priority="5" operator="lessThan">
      <formula>0</formula>
    </cfRule>
  </conditionalFormatting>
  <conditionalFormatting sqref="AN7:AP20">
    <cfRule type="cellIs" dxfId="76" priority="20" operator="lessThan">
      <formula>0</formula>
    </cfRule>
  </conditionalFormatting>
  <conditionalFormatting sqref="AN22:BT23">
    <cfRule type="cellIs" dxfId="75" priority="3" operator="lessThan">
      <formula>0</formula>
    </cfRule>
  </conditionalFormatting>
  <conditionalFormatting sqref="BW7:CG20">
    <cfRule type="cellIs" dxfId="74" priority="8" operator="lessThan">
      <formula>0</formula>
    </cfRule>
  </conditionalFormatting>
  <conditionalFormatting sqref="BZ22:CA23">
    <cfRule type="cellIs" dxfId="73" priority="2" operator="lessThan">
      <formula>0</formula>
    </cfRule>
  </conditionalFormatting>
  <conditionalFormatting sqref="CC22:CG23">
    <cfRule type="cellIs" dxfId="72" priority="9" operator="lessThan">
      <formula>0</formula>
    </cfRule>
  </conditionalFormatting>
  <conditionalFormatting sqref="CH1:CI1 JZ1:KA1 KN1 LB1:LE1 MA1:MB1 MD1 AM1:AM2 KK1:KM2 AO2:AR2 BW2:CH2 JZ2 MA2 LB2:LD27 CI2:CI1048576 MB2:MB1048576 JZ3:KP3 KR3 KT3 KV3 LI3:LO3 LQ3 LU3:MA3 LG3:LH4 JZ4 KB4:KL4 LI4:MA4 KN4:KQ27 KM4:KM28 AN5:AR5 BW5:CG5 CH5:CH24 LE5:LF27 AM5:AM1048576 AN6:CG6 KJ6:KL26 JZ6:KI1048576 AQ7:BT10 BU7:BV11 LU7:MA28 AQ11:BO11 BQ11:BT11 AQ12:BV20 AH19:AJ19 AN26:CH1048576 KS27 KU27 KW27:KY27 KL27:KL32 KJ27:KK1048576 MC28:MN1048576 KM29:KR29 KT29:LD29 LF29:LZ29 MA29:MA1048576 LF30:LH30 LJ30:LZ30 KM30:KM32 LB30:LD32 KN30:LA38 LE31:LZ1048576 KN39:KR51 KL34:KM51 KT39:LA51 LB34:LD51 KL52:LD1048576">
    <cfRule type="cellIs" dxfId="71" priority="26" operator="lessThan">
      <formula>0</formula>
    </cfRule>
  </conditionalFormatting>
  <conditionalFormatting sqref="IC4 IC6:IC25">
    <cfRule type="cellIs" dxfId="70" priority="25" operator="lessThan">
      <formula>0</formula>
    </cfRule>
  </conditionalFormatting>
  <conditionalFormatting sqref="JC4">
    <cfRule type="cellIs" dxfId="69" priority="23" operator="lessThan">
      <formula>0</formula>
    </cfRule>
  </conditionalFormatting>
  <conditionalFormatting sqref="JZ5:KL5">
    <cfRule type="cellIs" dxfId="68" priority="12" operator="lessThan">
      <formula>0</formula>
    </cfRule>
  </conditionalFormatting>
  <conditionalFormatting sqref="KR4:LA26">
    <cfRule type="cellIs" dxfId="67" priority="1" operator="lessThan">
      <formula>0</formula>
    </cfRule>
  </conditionalFormatting>
  <conditionalFormatting sqref="KZ3">
    <cfRule type="cellIs" dxfId="66" priority="21" operator="lessThan">
      <formula>0</formula>
    </cfRule>
  </conditionalFormatting>
  <conditionalFormatting sqref="KZ28:LT28">
    <cfRule type="cellIs" dxfId="65" priority="11" operator="lessThan">
      <formula>0</formula>
    </cfRule>
  </conditionalFormatting>
  <conditionalFormatting sqref="LA27">
    <cfRule type="cellIs" dxfId="64" priority="13" operator="lessThan">
      <formula>0</formula>
    </cfRule>
  </conditionalFormatting>
  <conditionalFormatting sqref="LE3:LF3 LF4">
    <cfRule type="cellIs" dxfId="63" priority="22" operator="lessThan">
      <formula>0</formula>
    </cfRule>
  </conditionalFormatting>
  <conditionalFormatting sqref="LG7:LT27">
    <cfRule type="cellIs" dxfId="62" priority="10" operator="lessThan">
      <formula>0</formula>
    </cfRule>
  </conditionalFormatting>
  <conditionalFormatting sqref="LG5:MA6">
    <cfRule type="cellIs" dxfId="61" priority="24" operator="lessThan">
      <formula>0</formula>
    </cfRule>
  </conditionalFormatting>
  <conditionalFormatting sqref="MC2">
    <cfRule type="cellIs" dxfId="60" priority="4" operator="lessThan">
      <formula>0</formula>
    </cfRule>
  </conditionalFormatting>
  <conditionalFormatting sqref="MF3:MF4">
    <cfRule type="cellIs" dxfId="59" priority="19" operator="lessThan">
      <formula>0</formula>
    </cfRule>
  </conditionalFormatting>
  <conditionalFormatting sqref="MG4:MH4">
    <cfRule type="cellIs" dxfId="58" priority="18" operator="lessThan">
      <formula>0</formula>
    </cfRule>
  </conditionalFormatting>
  <conditionalFormatting sqref="MI3:MI4">
    <cfRule type="cellIs" dxfId="57" priority="17" operator="lessThan">
      <formula>0</formula>
    </cfRule>
  </conditionalFormatting>
  <conditionalFormatting sqref="MJ4:MK4">
    <cfRule type="cellIs" dxfId="56" priority="16" operator="lessThan">
      <formula>0</formula>
    </cfRule>
  </conditionalFormatting>
  <conditionalFormatting sqref="ML3:ML4">
    <cfRule type="cellIs" dxfId="55" priority="15" operator="lessThan">
      <formula>0</formula>
    </cfRule>
  </conditionalFormatting>
  <conditionalFormatting sqref="MM4:MN4">
    <cfRule type="cellIs" dxfId="54" priority="14" operator="lessThan">
      <formula>0</formula>
    </cfRule>
  </conditionalFormatting>
  <conditionalFormatting sqref="MR1">
    <cfRule type="cellIs" dxfId="53" priority="7" operator="lessThan">
      <formula>0</formula>
    </cfRule>
  </conditionalFormatting>
  <conditionalFormatting sqref="MR4:MT4">
    <cfRule type="cellIs" dxfId="52" priority="6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5BB41-C83C-4EF4-A562-8C11F96D4FAF}">
  <dimension ref="A1:KH50"/>
  <sheetViews>
    <sheetView zoomScale="85" zoomScaleNormal="85" workbookViewId="0">
      <selection activeCell="E25" sqref="E25"/>
    </sheetView>
  </sheetViews>
  <sheetFormatPr defaultColWidth="10.28515625" defaultRowHeight="16.5" x14ac:dyDescent="0.3"/>
  <cols>
    <col min="1" max="1" width="2.42578125" style="2" customWidth="1"/>
    <col min="2" max="2" width="8.85546875" style="2" customWidth="1"/>
    <col min="3" max="3" width="39.42578125" style="2" customWidth="1"/>
    <col min="4" max="4" width="24.5703125" style="2" customWidth="1"/>
    <col min="5" max="5" width="21.7109375" style="2" customWidth="1"/>
    <col min="6" max="6" width="21.42578125" style="2" customWidth="1"/>
    <col min="7" max="7" width="4.140625" style="2" customWidth="1"/>
    <col min="8" max="8" width="7" style="102" customWidth="1"/>
    <col min="9" max="9" width="4.140625" style="2" customWidth="1"/>
    <col min="10" max="10" width="5.7109375" style="2" customWidth="1"/>
    <col min="11" max="11" width="11.7109375" style="2" customWidth="1"/>
    <col min="12" max="12" width="37.7109375" style="2" customWidth="1"/>
    <col min="13" max="13" width="20.85546875" style="2" customWidth="1"/>
    <col min="14" max="16" width="14.42578125" style="2" customWidth="1"/>
    <col min="17" max="17" width="17.7109375" style="2" customWidth="1"/>
    <col min="18" max="18" width="15" style="2" customWidth="1"/>
    <col min="19" max="19" width="4.140625" style="2" customWidth="1"/>
    <col min="20" max="20" width="7" style="102" customWidth="1"/>
    <col min="21" max="21" width="4.140625" style="2" customWidth="1"/>
    <col min="22" max="22" width="6" style="2" customWidth="1"/>
    <col min="23" max="23" width="11.28515625" style="2" customWidth="1"/>
    <col min="24" max="24" width="35" style="2" bestFit="1" customWidth="1"/>
    <col min="25" max="25" width="18.28515625" style="2" customWidth="1"/>
    <col min="26" max="26" width="11.42578125" style="2" customWidth="1"/>
    <col min="27" max="27" width="4.140625" style="2" customWidth="1"/>
    <col min="28" max="28" width="7" style="102" customWidth="1"/>
    <col min="29" max="29" width="4.140625" style="2" customWidth="1"/>
    <col min="30" max="31" width="9.85546875" style="2" customWidth="1"/>
    <col min="32" max="32" width="38.28515625" style="2" customWidth="1"/>
    <col min="33" max="33" width="16.5703125" style="2" customWidth="1"/>
    <col min="34" max="34" width="4" style="2" customWidth="1"/>
    <col min="35" max="35" width="7" style="102" customWidth="1"/>
    <col min="36" max="36" width="4.140625" style="2" customWidth="1"/>
    <col min="37" max="37" width="5.140625" style="2" customWidth="1"/>
    <col min="38" max="38" width="65.28515625" style="2" customWidth="1"/>
    <col min="39" max="39" width="13.28515625" style="2" customWidth="1"/>
    <col min="40" max="40" width="4.140625" style="2" customWidth="1"/>
    <col min="41" max="41" width="7" style="102" customWidth="1"/>
    <col min="42" max="42" width="4.140625" style="2" customWidth="1"/>
    <col min="43" max="43" width="5.28515625" style="2" customWidth="1"/>
    <col min="44" max="44" width="11" style="2" customWidth="1"/>
    <col min="45" max="45" width="35" style="2" bestFit="1" customWidth="1"/>
    <col min="46" max="46" width="16.5703125" style="2" customWidth="1"/>
    <col min="47" max="47" width="17.85546875" style="2" bestFit="1" customWidth="1"/>
    <col min="48" max="48" width="22.42578125" style="2" customWidth="1"/>
    <col min="49" max="49" width="21" style="2" bestFit="1" customWidth="1"/>
    <col min="50" max="50" width="17.28515625" style="2" customWidth="1"/>
    <col min="51" max="51" width="20.28515625" style="2" customWidth="1"/>
    <col min="52" max="52" width="19.5703125" style="2" hidden="1" customWidth="1"/>
    <col min="53" max="53" width="15.5703125" style="2" hidden="1" customWidth="1"/>
    <col min="54" max="54" width="4.140625" style="2" customWidth="1"/>
    <col min="55" max="55" width="7" style="102" customWidth="1"/>
    <col min="56" max="56" width="4.140625" style="2" customWidth="1"/>
    <col min="57" max="57" width="4.7109375" style="2" bestFit="1" customWidth="1"/>
    <col min="58" max="58" width="36.140625" style="2" bestFit="1" customWidth="1"/>
    <col min="59" max="59" width="13.28515625" style="2" bestFit="1" customWidth="1"/>
    <col min="60" max="60" width="15" style="2" bestFit="1" customWidth="1"/>
    <col min="61" max="61" width="4.140625" style="2" customWidth="1"/>
    <col min="62" max="62" width="7" style="102" customWidth="1"/>
    <col min="63" max="63" width="4.140625" style="2" customWidth="1"/>
    <col min="64" max="64" width="5.7109375" style="2" customWidth="1"/>
    <col min="65" max="65" width="11.7109375" style="2" customWidth="1"/>
    <col min="66" max="66" width="38.42578125" style="2" customWidth="1"/>
    <col min="67" max="67" width="18.42578125" style="2" customWidth="1"/>
    <col min="68" max="68" width="20.5703125" style="2" customWidth="1"/>
    <col min="69" max="72" width="16.7109375" style="2" customWidth="1"/>
    <col min="73" max="73" width="4.140625" style="2" customWidth="1"/>
    <col min="74" max="74" width="7" style="102" customWidth="1"/>
    <col min="75" max="75" width="4.140625" style="2" customWidth="1"/>
    <col min="76" max="76" width="5" style="2" customWidth="1"/>
    <col min="77" max="77" width="18.85546875" style="2" bestFit="1" customWidth="1"/>
    <col min="78" max="78" width="14.42578125" style="2" customWidth="1"/>
    <col min="79" max="79" width="14.85546875" style="2" customWidth="1"/>
    <col min="80" max="83" width="15.5703125" style="2" customWidth="1"/>
    <col min="84" max="84" width="4.140625" style="2" customWidth="1"/>
    <col min="85" max="85" width="7" style="102" customWidth="1"/>
    <col min="86" max="86" width="4.140625" style="2" customWidth="1"/>
    <col min="87" max="87" width="5" style="2" customWidth="1"/>
    <col min="88" max="88" width="11" style="7" customWidth="1"/>
    <col min="89" max="89" width="35.5703125" style="2" customWidth="1"/>
    <col min="90" max="96" width="16.140625" style="2" customWidth="1"/>
    <col min="97" max="97" width="4.140625" style="2" customWidth="1"/>
    <col min="98" max="98" width="7" style="102" customWidth="1"/>
    <col min="99" max="99" width="4.140625" style="2" customWidth="1"/>
    <col min="100" max="100" width="4.7109375" style="2" customWidth="1"/>
    <col min="101" max="101" width="30" style="2" bestFit="1" customWidth="1"/>
    <col min="102" max="105" width="13.140625" style="2" customWidth="1"/>
    <col min="106" max="106" width="16.7109375" style="2" customWidth="1"/>
    <col min="107" max="107" width="20" style="2" customWidth="1"/>
    <col min="108" max="108" width="20.140625" style="2" customWidth="1"/>
    <col min="109" max="109" width="4.140625" style="2" customWidth="1"/>
    <col min="110" max="110" width="7" style="102" customWidth="1"/>
    <col min="111" max="111" width="4.140625" style="2" customWidth="1"/>
    <col min="112" max="112" width="5.85546875" style="2" customWidth="1"/>
    <col min="113" max="113" width="11.42578125" style="2" customWidth="1"/>
    <col min="114" max="114" width="34.42578125" style="2" customWidth="1"/>
    <col min="115" max="115" width="13.28515625" style="2" customWidth="1"/>
    <col min="116" max="116" width="15.5703125" style="2" customWidth="1"/>
    <col min="117" max="117" width="16.5703125" style="2" customWidth="1"/>
    <col min="118" max="118" width="15.5703125" style="2" customWidth="1"/>
    <col min="119" max="119" width="13.28515625" style="2" customWidth="1"/>
    <col min="120" max="120" width="15.5703125" style="2" customWidth="1"/>
    <col min="121" max="121" width="16.7109375" style="2" customWidth="1"/>
    <col min="122" max="122" width="13.28515625" style="2" customWidth="1"/>
    <col min="123" max="123" width="15.42578125" style="2" customWidth="1"/>
    <col min="124" max="124" width="4.140625" style="2" customWidth="1"/>
    <col min="125" max="125" width="7" style="102" customWidth="1"/>
    <col min="126" max="126" width="4.140625" style="2" customWidth="1"/>
    <col min="127" max="127" width="6.140625" style="2" customWidth="1"/>
    <col min="128" max="128" width="11.140625" style="2" customWidth="1"/>
    <col min="129" max="129" width="37.85546875" style="2" customWidth="1"/>
    <col min="130" max="130" width="16.7109375" style="2" customWidth="1"/>
    <col min="131" max="131" width="16" style="2" customWidth="1"/>
    <col min="132" max="132" width="15.42578125" style="2" customWidth="1"/>
    <col min="133" max="133" width="4.140625" style="2" customWidth="1"/>
    <col min="134" max="134" width="7" style="102" customWidth="1"/>
    <col min="135" max="135" width="4.140625" style="2" customWidth="1"/>
    <col min="136" max="136" width="4.7109375" style="2" customWidth="1"/>
    <col min="137" max="138" width="14.42578125" style="2" customWidth="1"/>
    <col min="139" max="139" width="13.140625" style="2" customWidth="1"/>
    <col min="140" max="140" width="14.85546875" style="2" customWidth="1"/>
    <col min="141" max="141" width="4.140625" style="2" customWidth="1"/>
    <col min="142" max="142" width="7" style="102" customWidth="1"/>
    <col min="143" max="143" width="4.140625" style="2" customWidth="1"/>
    <col min="144" max="144" width="5.7109375" style="2" customWidth="1"/>
    <col min="145" max="145" width="11.7109375" style="2" customWidth="1"/>
    <col min="146" max="146" width="34.42578125" style="2" customWidth="1"/>
    <col min="147" max="147" width="14.42578125" style="2" customWidth="1"/>
    <col min="148" max="148" width="15.5703125" style="2" bestFit="1" customWidth="1"/>
    <col min="149" max="152" width="14.42578125" style="2" customWidth="1"/>
    <col min="153" max="153" width="15.5703125" style="2" customWidth="1"/>
    <col min="154" max="155" width="14.42578125" style="2" customWidth="1"/>
    <col min="156" max="156" width="4.140625" style="2" customWidth="1"/>
    <col min="157" max="157" width="7" style="102" customWidth="1"/>
    <col min="158" max="158" width="4.140625" style="2" customWidth="1"/>
    <col min="159" max="159" width="5.28515625" style="2" customWidth="1"/>
    <col min="160" max="160" width="33.28515625" style="2" customWidth="1"/>
    <col min="161" max="161" width="21.28515625" style="2" customWidth="1"/>
    <col min="162" max="162" width="4.140625" style="2" customWidth="1"/>
    <col min="163" max="163" width="7" style="102" customWidth="1"/>
    <col min="164" max="164" width="4.140625" style="2" customWidth="1"/>
    <col min="165" max="165" width="5.42578125" style="2" customWidth="1"/>
    <col min="166" max="166" width="11.42578125" style="2" customWidth="1"/>
    <col min="167" max="167" width="40" style="2" customWidth="1"/>
    <col min="168" max="168" width="12.140625" style="2" customWidth="1"/>
    <col min="169" max="169" width="20.140625" style="2" customWidth="1"/>
    <col min="170" max="170" width="15.5703125" style="2" customWidth="1"/>
    <col min="171" max="171" width="4.140625" style="2" customWidth="1"/>
    <col min="172" max="172" width="7" style="102" customWidth="1"/>
    <col min="173" max="173" width="4.140625" style="2" customWidth="1"/>
    <col min="174" max="174" width="5.7109375" style="2" customWidth="1"/>
    <col min="175" max="175" width="10.5703125" style="2" customWidth="1"/>
    <col min="176" max="176" width="37.7109375" style="2" customWidth="1"/>
    <col min="177" max="177" width="17.28515625" style="2" bestFit="1" customWidth="1"/>
    <col min="178" max="178" width="16.7109375" style="2" bestFit="1" customWidth="1"/>
    <col min="179" max="179" width="16.140625" style="2" bestFit="1" customWidth="1"/>
    <col min="180" max="180" width="15.5703125" style="2" bestFit="1" customWidth="1"/>
    <col min="181" max="181" width="15" style="2" bestFit="1" customWidth="1"/>
    <col min="182" max="182" width="16.140625" style="2" bestFit="1" customWidth="1"/>
    <col min="183" max="183" width="16.7109375" style="2" bestFit="1" customWidth="1"/>
    <col min="184" max="184" width="17.85546875" style="2" bestFit="1" customWidth="1"/>
    <col min="185" max="185" width="15.42578125" style="2" customWidth="1"/>
    <col min="186" max="186" width="3" style="2" customWidth="1"/>
    <col min="187" max="187" width="7" style="102" customWidth="1"/>
    <col min="188" max="188" width="4.140625" style="2" customWidth="1"/>
    <col min="189" max="189" width="5.42578125" style="2" customWidth="1"/>
    <col min="190" max="190" width="11" style="2" customWidth="1"/>
    <col min="191" max="191" width="37.7109375" style="2" customWidth="1"/>
    <col min="192" max="192" width="18" style="2" customWidth="1"/>
    <col min="193" max="197" width="16.5703125" style="2" customWidth="1"/>
    <col min="198" max="198" width="24.85546875" style="2" customWidth="1"/>
    <col min="199" max="199" width="16.5703125" style="2" customWidth="1"/>
    <col min="200" max="200" width="20.140625" style="2" bestFit="1" customWidth="1"/>
    <col min="201" max="201" width="4.7109375" style="2" customWidth="1"/>
    <col min="202" max="202" width="7" style="102" customWidth="1"/>
    <col min="203" max="203" width="4.140625" style="2" customWidth="1"/>
    <col min="204" max="204" width="6" style="2" customWidth="1"/>
    <col min="205" max="205" width="11.140625" style="2" customWidth="1"/>
    <col min="206" max="206" width="34.85546875" style="2" customWidth="1"/>
    <col min="207" max="207" width="16.140625" style="2" customWidth="1"/>
    <col min="208" max="208" width="17.85546875" style="2" bestFit="1" customWidth="1"/>
    <col min="209" max="209" width="20.140625" style="2" customWidth="1"/>
    <col min="210" max="210" width="15.5703125" style="2" customWidth="1"/>
    <col min="211" max="211" width="17.85546875" style="2" bestFit="1" customWidth="1"/>
    <col min="212" max="212" width="15.5703125" style="2" customWidth="1"/>
    <col min="213" max="213" width="3" style="2" customWidth="1"/>
    <col min="214" max="214" width="7" style="102" customWidth="1"/>
    <col min="215" max="215" width="4.140625" style="2" customWidth="1"/>
    <col min="216" max="216" width="5.85546875" style="2" customWidth="1"/>
    <col min="217" max="217" width="15.5703125" style="2" customWidth="1"/>
    <col min="218" max="218" width="17.7109375" style="2" bestFit="1" customWidth="1"/>
    <col min="219" max="219" width="15.5703125" style="2" customWidth="1"/>
    <col min="220" max="220" width="17.7109375" style="2" bestFit="1" customWidth="1"/>
    <col min="221" max="221" width="11" style="2" customWidth="1"/>
    <col min="222" max="222" width="3" style="2" customWidth="1"/>
    <col min="223" max="223" width="7" style="102" customWidth="1"/>
    <col min="224" max="224" width="4.140625" style="2" customWidth="1"/>
    <col min="225" max="225" width="7.5703125" style="2" customWidth="1"/>
    <col min="226" max="226" width="10.28515625" style="2"/>
    <col min="227" max="227" width="32.7109375" style="2" bestFit="1" customWidth="1"/>
    <col min="228" max="228" width="16.42578125" style="2" customWidth="1"/>
    <col min="229" max="229" width="21.85546875" style="2" customWidth="1"/>
    <col min="230" max="230" width="23.140625" style="2" customWidth="1"/>
    <col min="231" max="231" width="11.5703125" style="2" customWidth="1"/>
    <col min="232" max="232" width="11" style="2" customWidth="1"/>
    <col min="233" max="233" width="16.5703125" style="2" customWidth="1"/>
    <col min="234" max="234" width="4.140625" style="2" customWidth="1"/>
    <col min="235" max="235" width="7" style="102" customWidth="1"/>
    <col min="236" max="236" width="4.140625" style="2" customWidth="1"/>
    <col min="237" max="238" width="14.140625" style="2" bestFit="1" customWidth="1"/>
    <col min="239" max="239" width="17.140625" style="2" bestFit="1" customWidth="1"/>
    <col min="240" max="240" width="10.28515625" style="2"/>
    <col min="241" max="241" width="22.85546875" style="2" bestFit="1" customWidth="1"/>
    <col min="242" max="242" width="13.85546875" style="2" bestFit="1" customWidth="1"/>
    <col min="243" max="243" width="13.28515625" style="2" bestFit="1" customWidth="1"/>
    <col min="244" max="244" width="22.7109375" style="2" customWidth="1"/>
    <col min="245" max="245" width="8.5703125" style="2" bestFit="1" customWidth="1"/>
    <col min="246" max="246" width="10.28515625" style="2"/>
    <col min="247" max="247" width="13.85546875" style="2" bestFit="1" customWidth="1"/>
    <col min="248" max="248" width="7" style="102" customWidth="1"/>
    <col min="249" max="249" width="14.42578125" style="2" bestFit="1" customWidth="1"/>
    <col min="250" max="250" width="4.7109375" style="2" bestFit="1" customWidth="1"/>
    <col min="251" max="251" width="12.7109375" style="2" customWidth="1"/>
    <col min="252" max="252" width="34.140625" style="2" customWidth="1"/>
    <col min="253" max="253" width="19" style="2" bestFit="1" customWidth="1"/>
    <col min="254" max="254" width="20.7109375" style="2" bestFit="1" customWidth="1"/>
    <col min="255" max="255" width="25.5703125" style="2" bestFit="1" customWidth="1"/>
    <col min="256" max="256" width="26.5703125" style="2" bestFit="1" customWidth="1"/>
    <col min="257" max="257" width="30.140625" style="2" bestFit="1" customWidth="1"/>
    <col min="258" max="258" width="28.28515625" style="2" customWidth="1"/>
    <col min="259" max="259" width="22.140625" style="2" bestFit="1" customWidth="1"/>
    <col min="260" max="260" width="17.7109375" style="2" bestFit="1" customWidth="1"/>
    <col min="261" max="261" width="15.140625" style="2" bestFit="1" customWidth="1"/>
    <col min="262" max="262" width="19" style="2" bestFit="1" customWidth="1"/>
    <col min="263" max="263" width="12.140625" style="2" customWidth="1"/>
    <col min="264" max="264" width="10.28515625" style="2"/>
    <col min="265" max="265" width="7" style="102" customWidth="1"/>
    <col min="266" max="266" width="10.28515625" style="2"/>
    <col min="267" max="267" width="11.5703125" style="2" bestFit="1" customWidth="1"/>
    <col min="268" max="268" width="9.85546875" style="2" bestFit="1" customWidth="1"/>
    <col min="269" max="269" width="33.85546875" style="2" customWidth="1"/>
    <col min="270" max="270" width="18.85546875" style="2" customWidth="1"/>
    <col min="271" max="271" width="20.42578125" style="2" customWidth="1"/>
    <col min="272" max="272" width="16.28515625" style="2" bestFit="1" customWidth="1"/>
    <col min="273" max="273" width="8.7109375" style="2" bestFit="1" customWidth="1"/>
    <col min="274" max="274" width="12.42578125" style="2" customWidth="1"/>
    <col min="275" max="275" width="14.42578125" style="2" customWidth="1"/>
    <col min="276" max="277" width="10.28515625" style="2"/>
    <col min="278" max="278" width="7" style="102" customWidth="1"/>
    <col min="279" max="279" width="10.28515625" style="2"/>
    <col min="280" max="282" width="17.28515625" style="2" bestFit="1" customWidth="1"/>
    <col min="283" max="283" width="11.5703125" style="2" bestFit="1" customWidth="1"/>
    <col min="284" max="284" width="29.85546875" style="2" bestFit="1" customWidth="1"/>
    <col min="285" max="285" width="15.85546875" style="2" customWidth="1"/>
    <col min="286" max="286" width="17.28515625" style="2" bestFit="1" customWidth="1"/>
    <col min="287" max="288" width="12.7109375" style="2" customWidth="1"/>
    <col min="289" max="289" width="17.140625" style="2" bestFit="1" customWidth="1"/>
    <col min="290" max="291" width="16.7109375" style="2" bestFit="1" customWidth="1"/>
    <col min="292" max="292" width="17.28515625" style="2" bestFit="1" customWidth="1"/>
    <col min="293" max="293" width="10.28515625" style="2"/>
    <col min="294" max="294" width="4.140625" style="43" customWidth="1"/>
  </cols>
  <sheetData>
    <row r="1" spans="1:294" s="44" customFormat="1" x14ac:dyDescent="0.3">
      <c r="A1" s="2"/>
      <c r="B1" s="1000" t="s">
        <v>274</v>
      </c>
      <c r="C1" s="1000"/>
      <c r="D1" s="1000"/>
      <c r="E1" s="1000"/>
      <c r="F1" s="1000"/>
      <c r="G1" s="712"/>
      <c r="H1" s="92"/>
      <c r="I1" s="712"/>
      <c r="J1" s="1000" t="s">
        <v>275</v>
      </c>
      <c r="K1" s="1000"/>
      <c r="L1" s="1000"/>
      <c r="M1" s="1000"/>
      <c r="N1" s="1000"/>
      <c r="O1" s="1000"/>
      <c r="P1" s="1000"/>
      <c r="Q1" s="1000"/>
      <c r="R1" s="1000"/>
      <c r="S1" s="712"/>
      <c r="T1" s="92"/>
      <c r="U1" s="712"/>
      <c r="V1" s="998" t="s">
        <v>276</v>
      </c>
      <c r="W1" s="998"/>
      <c r="X1" s="998"/>
      <c r="Y1" s="998"/>
      <c r="Z1" s="998"/>
      <c r="AA1" s="712"/>
      <c r="AB1" s="92"/>
      <c r="AC1" s="712"/>
      <c r="AD1" s="1000" t="s">
        <v>277</v>
      </c>
      <c r="AE1" s="1000"/>
      <c r="AF1" s="1000"/>
      <c r="AG1" s="1000"/>
      <c r="AH1" s="713"/>
      <c r="AI1" s="92"/>
      <c r="AJ1" s="712"/>
      <c r="AK1" s="1001" t="s">
        <v>278</v>
      </c>
      <c r="AL1" s="1001"/>
      <c r="AM1" s="1001"/>
      <c r="AN1" s="25"/>
      <c r="AO1" s="92"/>
      <c r="AP1" s="25"/>
      <c r="AQ1" s="999" t="s">
        <v>279</v>
      </c>
      <c r="AR1" s="999"/>
      <c r="AS1" s="999"/>
      <c r="AT1" s="999"/>
      <c r="AU1" s="999"/>
      <c r="AV1" s="999"/>
      <c r="AW1" s="999"/>
      <c r="AX1" s="999"/>
      <c r="AY1" s="999"/>
      <c r="AZ1" s="999"/>
      <c r="BA1" s="999"/>
      <c r="BB1" s="712"/>
      <c r="BC1" s="92"/>
      <c r="BD1" s="712"/>
      <c r="BE1" s="1001" t="s">
        <v>280</v>
      </c>
      <c r="BF1" s="1001"/>
      <c r="BG1" s="1001"/>
      <c r="BH1" s="1001"/>
      <c r="BI1" s="712"/>
      <c r="BJ1" s="92"/>
      <c r="BK1" s="712"/>
      <c r="BL1" s="1002" t="s">
        <v>281</v>
      </c>
      <c r="BM1" s="1002"/>
      <c r="BN1" s="1002"/>
      <c r="BO1" s="1002"/>
      <c r="BP1" s="1002"/>
      <c r="BQ1" s="1002"/>
      <c r="BR1" s="1002"/>
      <c r="BS1" s="1002"/>
      <c r="BT1" s="1002"/>
      <c r="BU1" s="712"/>
      <c r="BV1" s="92"/>
      <c r="BW1" s="712"/>
      <c r="BX1" s="998" t="s">
        <v>282</v>
      </c>
      <c r="BY1" s="998"/>
      <c r="BZ1" s="998"/>
      <c r="CA1" s="998"/>
      <c r="CB1" s="998"/>
      <c r="CC1" s="998"/>
      <c r="CD1" s="998"/>
      <c r="CE1" s="998"/>
      <c r="CF1" s="712"/>
      <c r="CG1" s="92"/>
      <c r="CH1" s="712"/>
      <c r="CI1" s="998" t="s">
        <v>283</v>
      </c>
      <c r="CJ1" s="998"/>
      <c r="CK1" s="998"/>
      <c r="CL1" s="998"/>
      <c r="CM1" s="998"/>
      <c r="CN1" s="998"/>
      <c r="CO1" s="998"/>
      <c r="CP1" s="998"/>
      <c r="CQ1" s="998"/>
      <c r="CR1" s="998"/>
      <c r="CS1" s="712"/>
      <c r="CT1" s="92"/>
      <c r="CU1" s="712"/>
      <c r="CV1" s="998" t="s">
        <v>284</v>
      </c>
      <c r="CW1" s="998"/>
      <c r="CX1" s="998"/>
      <c r="CY1" s="998"/>
      <c r="CZ1" s="998"/>
      <c r="DA1" s="998"/>
      <c r="DB1" s="998"/>
      <c r="DC1" s="998"/>
      <c r="DD1" s="998"/>
      <c r="DE1" s="712"/>
      <c r="DF1" s="92"/>
      <c r="DG1" s="712"/>
      <c r="DH1" s="1003" t="s">
        <v>285</v>
      </c>
      <c r="DI1" s="1003"/>
      <c r="DJ1" s="1003"/>
      <c r="DK1" s="1003"/>
      <c r="DL1" s="1003"/>
      <c r="DM1" s="1003"/>
      <c r="DN1" s="1003"/>
      <c r="DO1" s="1003"/>
      <c r="DP1" s="1003"/>
      <c r="DQ1" s="1003"/>
      <c r="DR1" s="1003"/>
      <c r="DS1" s="1003"/>
      <c r="DT1" s="712"/>
      <c r="DU1" s="92"/>
      <c r="DV1" s="712"/>
      <c r="DW1" s="1003" t="s">
        <v>286</v>
      </c>
      <c r="DX1" s="1003"/>
      <c r="DY1" s="1003"/>
      <c r="DZ1" s="1003"/>
      <c r="EA1" s="1003"/>
      <c r="EB1" s="1003"/>
      <c r="EC1" s="712"/>
      <c r="ED1" s="92"/>
      <c r="EE1" s="712"/>
      <c r="EF1" s="1000" t="s">
        <v>287</v>
      </c>
      <c r="EG1" s="1000"/>
      <c r="EH1" s="1000"/>
      <c r="EI1" s="1000"/>
      <c r="EJ1" s="1000"/>
      <c r="EK1" s="712"/>
      <c r="EL1" s="92"/>
      <c r="EM1" s="712"/>
      <c r="EN1" s="1003" t="s">
        <v>288</v>
      </c>
      <c r="EO1" s="1003"/>
      <c r="EP1" s="1003"/>
      <c r="EQ1" s="1003"/>
      <c r="ER1" s="1003"/>
      <c r="ES1" s="1003"/>
      <c r="ET1" s="1003"/>
      <c r="EU1" s="1003"/>
      <c r="EV1" s="1003"/>
      <c r="EW1" s="1003"/>
      <c r="EX1" s="1003"/>
      <c r="EY1" s="1003"/>
      <c r="EZ1" s="712"/>
      <c r="FA1" s="92"/>
      <c r="FB1" s="712"/>
      <c r="FC1" s="1000" t="s">
        <v>289</v>
      </c>
      <c r="FD1" s="1000"/>
      <c r="FE1" s="1000"/>
      <c r="FF1" s="712"/>
      <c r="FG1" s="92"/>
      <c r="FH1" s="712"/>
      <c r="FI1" s="1003" t="s">
        <v>290</v>
      </c>
      <c r="FJ1" s="1003"/>
      <c r="FK1" s="1003"/>
      <c r="FL1" s="1003"/>
      <c r="FM1" s="1003"/>
      <c r="FN1" s="1003"/>
      <c r="FO1" s="712"/>
      <c r="FP1" s="92"/>
      <c r="FQ1" s="25"/>
      <c r="FR1" s="998" t="s">
        <v>291</v>
      </c>
      <c r="FS1" s="998"/>
      <c r="FT1" s="998"/>
      <c r="FU1" s="998"/>
      <c r="FV1" s="998"/>
      <c r="FW1" s="998"/>
      <c r="FX1" s="998"/>
      <c r="FY1" s="998"/>
      <c r="FZ1" s="998"/>
      <c r="GA1" s="998"/>
      <c r="GB1" s="998"/>
      <c r="GC1" s="998"/>
      <c r="GD1" s="714"/>
      <c r="GE1" s="92"/>
      <c r="GF1" s="25"/>
      <c r="GG1" s="999" t="s">
        <v>292</v>
      </c>
      <c r="GH1" s="999"/>
      <c r="GI1" s="999"/>
      <c r="GJ1" s="999"/>
      <c r="GK1" s="999"/>
      <c r="GL1" s="999"/>
      <c r="GM1" s="999"/>
      <c r="GN1" s="999"/>
      <c r="GO1" s="999"/>
      <c r="GP1" s="999"/>
      <c r="GQ1" s="999"/>
      <c r="GR1" s="999"/>
      <c r="GS1" s="78"/>
      <c r="GT1" s="92"/>
      <c r="GU1" s="25"/>
      <c r="GV1" s="1000" t="s">
        <v>293</v>
      </c>
      <c r="GW1" s="1000"/>
      <c r="GX1" s="1000"/>
      <c r="GY1" s="1000"/>
      <c r="GZ1" s="1000"/>
      <c r="HA1" s="1000"/>
      <c r="HB1" s="1000"/>
      <c r="HC1" s="1000"/>
      <c r="HD1" s="1000"/>
      <c r="HE1" s="715"/>
      <c r="HF1" s="92"/>
      <c r="HG1" s="25"/>
      <c r="HH1" s="1000" t="s">
        <v>294</v>
      </c>
      <c r="HI1" s="1000"/>
      <c r="HJ1" s="1000"/>
      <c r="HK1" s="1000"/>
      <c r="HL1" s="1000"/>
      <c r="HM1" s="1000"/>
      <c r="HN1" s="715"/>
      <c r="HO1" s="92"/>
      <c r="HP1" s="25"/>
      <c r="HQ1" s="998" t="s">
        <v>295</v>
      </c>
      <c r="HR1" s="998"/>
      <c r="HS1" s="998"/>
      <c r="HT1" s="998"/>
      <c r="HU1" s="998"/>
      <c r="HV1" s="998"/>
      <c r="HW1" s="998"/>
      <c r="HX1" s="998"/>
      <c r="HY1" s="998"/>
      <c r="HZ1" s="712"/>
      <c r="IA1" s="92"/>
      <c r="IB1" s="712"/>
      <c r="IC1" s="1001" t="s">
        <v>296</v>
      </c>
      <c r="ID1" s="1001"/>
      <c r="IE1" s="1001"/>
      <c r="IF1" s="1001"/>
      <c r="IG1" s="1001"/>
      <c r="IH1" s="1001"/>
      <c r="II1" s="1001"/>
      <c r="IJ1" s="1001"/>
      <c r="IK1" s="1001"/>
      <c r="IL1" s="1001"/>
      <c r="IM1" s="712"/>
      <c r="IN1" s="92"/>
      <c r="IO1" s="712"/>
      <c r="IP1" s="1001" t="s">
        <v>297</v>
      </c>
      <c r="IQ1" s="1001"/>
      <c r="IR1" s="1001"/>
      <c r="IS1" s="1001"/>
      <c r="IT1" s="1001"/>
      <c r="IU1" s="1001"/>
      <c r="IV1" s="1001"/>
      <c r="IW1" s="1001"/>
      <c r="IX1" s="1001"/>
      <c r="IY1" s="1001"/>
      <c r="IZ1" s="1001"/>
      <c r="JA1" s="1001"/>
      <c r="JB1" s="1001"/>
      <c r="JC1" s="1001"/>
      <c r="JD1" s="25"/>
      <c r="JE1" s="92"/>
      <c r="JF1" s="25"/>
      <c r="JG1" s="998" t="s">
        <v>298</v>
      </c>
      <c r="JH1" s="998"/>
      <c r="JI1" s="998"/>
      <c r="JJ1" s="998"/>
      <c r="JK1" s="998"/>
      <c r="JL1" s="998"/>
      <c r="JM1" s="998"/>
      <c r="JN1" s="998"/>
      <c r="JO1" s="998"/>
      <c r="JP1" s="25"/>
      <c r="JQ1" s="25"/>
      <c r="JR1" s="92"/>
      <c r="JS1" s="712"/>
      <c r="JT1" s="935" t="s">
        <v>448</v>
      </c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40"/>
      <c r="KH1" s="41"/>
    </row>
    <row r="2" spans="1:294" ht="82.5" x14ac:dyDescent="0.3">
      <c r="B2" s="698"/>
      <c r="C2" s="711"/>
      <c r="D2" s="699" t="s">
        <v>299</v>
      </c>
      <c r="E2" s="699" t="s">
        <v>300</v>
      </c>
      <c r="F2" s="699" t="s">
        <v>301</v>
      </c>
      <c r="G2" s="6"/>
      <c r="I2" s="6"/>
      <c r="J2" s="698"/>
      <c r="K2" s="699" t="s">
        <v>302</v>
      </c>
      <c r="L2" s="699" t="s">
        <v>303</v>
      </c>
      <c r="M2" s="699" t="s">
        <v>304</v>
      </c>
      <c r="N2" s="699" t="s">
        <v>305</v>
      </c>
      <c r="O2" s="699" t="s">
        <v>306</v>
      </c>
      <c r="P2" s="699" t="s">
        <v>307</v>
      </c>
      <c r="Q2" s="699" t="s">
        <v>308</v>
      </c>
      <c r="R2" s="699" t="s">
        <v>309</v>
      </c>
      <c r="S2" s="6"/>
      <c r="U2" s="6"/>
      <c r="V2" s="729"/>
      <c r="W2" s="160" t="s">
        <v>302</v>
      </c>
      <c r="X2" s="160" t="s">
        <v>303</v>
      </c>
      <c r="Y2" s="160" t="s">
        <v>310</v>
      </c>
      <c r="Z2" s="160" t="s">
        <v>311</v>
      </c>
      <c r="AA2" s="6"/>
      <c r="AC2" s="6"/>
      <c r="AD2" s="700"/>
      <c r="AE2" s="701" t="s">
        <v>302</v>
      </c>
      <c r="AF2" s="699" t="s">
        <v>303</v>
      </c>
      <c r="AG2" s="701" t="s">
        <v>312</v>
      </c>
      <c r="AH2" s="6"/>
      <c r="AJ2" s="6"/>
      <c r="AK2" s="698"/>
      <c r="AL2" s="699"/>
      <c r="AM2" s="699" t="s">
        <v>129</v>
      </c>
      <c r="AN2" s="46"/>
      <c r="AP2" s="46"/>
      <c r="AQ2" s="698"/>
      <c r="AR2" s="699" t="s">
        <v>302</v>
      </c>
      <c r="AS2" s="699" t="s">
        <v>303</v>
      </c>
      <c r="AT2" s="699" t="s">
        <v>313</v>
      </c>
      <c r="AU2" s="699" t="s">
        <v>314</v>
      </c>
      <c r="AV2" s="699" t="s">
        <v>315</v>
      </c>
      <c r="AW2" s="699" t="s">
        <v>316</v>
      </c>
      <c r="AX2" s="699" t="s">
        <v>317</v>
      </c>
      <c r="AY2" s="699" t="s">
        <v>318</v>
      </c>
      <c r="AZ2" s="47" t="s">
        <v>319</v>
      </c>
      <c r="BA2" s="47" t="s">
        <v>320</v>
      </c>
      <c r="BB2" s="6"/>
      <c r="BD2" s="9"/>
      <c r="BE2" s="698"/>
      <c r="BF2" s="699" t="s">
        <v>321</v>
      </c>
      <c r="BG2" s="699" t="s">
        <v>322</v>
      </c>
      <c r="BH2" s="699" t="s">
        <v>323</v>
      </c>
      <c r="BI2" s="6"/>
      <c r="BK2" s="6"/>
      <c r="BL2" s="698"/>
      <c r="BM2" s="699" t="s">
        <v>302</v>
      </c>
      <c r="BN2" s="699" t="s">
        <v>303</v>
      </c>
      <c r="BO2" s="699" t="str">
        <f>BF4</f>
        <v>Direct and Collector Labour Allocator</v>
      </c>
      <c r="BP2" s="699" t="s">
        <v>324</v>
      </c>
      <c r="BQ2" s="699" t="str">
        <f>BF5</f>
        <v>Volume Allocator</v>
      </c>
      <c r="BR2" s="699" t="s">
        <v>325</v>
      </c>
      <c r="BS2" s="699" t="s">
        <v>326</v>
      </c>
      <c r="BT2" s="699" t="s">
        <v>301</v>
      </c>
      <c r="BU2" s="6"/>
      <c r="BW2" s="6"/>
      <c r="BX2" s="698"/>
      <c r="BY2" s="722"/>
      <c r="BZ2" s="699" t="s">
        <v>327</v>
      </c>
      <c r="CA2" s="699" t="s">
        <v>328</v>
      </c>
      <c r="CB2" s="699" t="s">
        <v>329</v>
      </c>
      <c r="CC2" s="699" t="s">
        <v>330</v>
      </c>
      <c r="CD2" s="699" t="s">
        <v>331</v>
      </c>
      <c r="CE2" s="699" t="s">
        <v>332</v>
      </c>
      <c r="CF2" s="6"/>
      <c r="CH2" s="6"/>
      <c r="CI2" s="698"/>
      <c r="CJ2" s="699" t="s">
        <v>302</v>
      </c>
      <c r="CK2" s="699" t="s">
        <v>303</v>
      </c>
      <c r="CL2" s="699" t="s">
        <v>333</v>
      </c>
      <c r="CM2" s="699" t="s">
        <v>334</v>
      </c>
      <c r="CN2" s="699" t="s">
        <v>335</v>
      </c>
      <c r="CO2" s="699" t="s">
        <v>336</v>
      </c>
      <c r="CP2" s="699" t="s">
        <v>337</v>
      </c>
      <c r="CQ2" s="699" t="s">
        <v>338</v>
      </c>
      <c r="CR2" s="699" t="s">
        <v>301</v>
      </c>
      <c r="CS2" s="6"/>
      <c r="CU2" s="6"/>
      <c r="CV2" s="698"/>
      <c r="CW2" s="699" t="s">
        <v>339</v>
      </c>
      <c r="CX2" s="699" t="s">
        <v>338</v>
      </c>
      <c r="CY2" s="699" t="s">
        <v>308</v>
      </c>
      <c r="CZ2" s="723" t="s">
        <v>333</v>
      </c>
      <c r="DA2" s="699" t="str">
        <f>CX2</f>
        <v>Building Allocator</v>
      </c>
      <c r="DB2" s="699" t="str">
        <f>CY2</f>
        <v>Pallet Allocator</v>
      </c>
      <c r="DC2" s="699" t="str">
        <f>CZ2</f>
        <v>Volume Allocator</v>
      </c>
      <c r="DD2" s="699" t="s">
        <v>340</v>
      </c>
      <c r="DE2" s="6"/>
      <c r="DG2" s="6"/>
      <c r="DH2" s="698"/>
      <c r="DI2" s="699" t="s">
        <v>302</v>
      </c>
      <c r="DJ2" s="699" t="s">
        <v>303</v>
      </c>
      <c r="DK2" s="699" t="s">
        <v>338</v>
      </c>
      <c r="DL2" s="699" t="s">
        <v>341</v>
      </c>
      <c r="DM2" s="699" t="s">
        <v>308</v>
      </c>
      <c r="DN2" s="699" t="s">
        <v>342</v>
      </c>
      <c r="DO2" s="699" t="s">
        <v>333</v>
      </c>
      <c r="DP2" s="699" t="s">
        <v>343</v>
      </c>
      <c r="DQ2" s="699" t="s">
        <v>344</v>
      </c>
      <c r="DR2" s="699" t="s">
        <v>345</v>
      </c>
      <c r="DS2" s="699" t="s">
        <v>301</v>
      </c>
      <c r="DT2" s="6"/>
      <c r="DV2" s="6"/>
      <c r="DW2" s="698"/>
      <c r="DX2" s="699" t="s">
        <v>302</v>
      </c>
      <c r="DY2" s="699" t="s">
        <v>303</v>
      </c>
      <c r="DZ2" s="699" t="s">
        <v>308</v>
      </c>
      <c r="EA2" s="699" t="s">
        <v>346</v>
      </c>
      <c r="EB2" s="699" t="s">
        <v>301</v>
      </c>
      <c r="EC2" s="6"/>
      <c r="EE2" s="6"/>
      <c r="EF2" s="724"/>
      <c r="EG2" s="699" t="s">
        <v>321</v>
      </c>
      <c r="EH2" s="699" t="s">
        <v>347</v>
      </c>
      <c r="EI2" s="699" t="s">
        <v>322</v>
      </c>
      <c r="EJ2" s="699" t="s">
        <v>323</v>
      </c>
      <c r="EK2" s="6"/>
      <c r="EM2" s="6"/>
      <c r="EN2" s="698"/>
      <c r="EO2" s="699" t="s">
        <v>302</v>
      </c>
      <c r="EP2" s="699" t="s">
        <v>303</v>
      </c>
      <c r="EQ2" s="699" t="s">
        <v>311</v>
      </c>
      <c r="ER2" s="699" t="s">
        <v>348</v>
      </c>
      <c r="ES2" s="699" t="s">
        <v>338</v>
      </c>
      <c r="ET2" s="699" t="s">
        <v>349</v>
      </c>
      <c r="EU2" s="699" t="s">
        <v>333</v>
      </c>
      <c r="EV2" s="699" t="s">
        <v>350</v>
      </c>
      <c r="EW2" s="699" t="s">
        <v>351</v>
      </c>
      <c r="EX2" s="699" t="s">
        <v>345</v>
      </c>
      <c r="EY2" s="699" t="s">
        <v>301</v>
      </c>
      <c r="EZ2" s="6"/>
      <c r="FB2" s="6"/>
      <c r="FC2" s="726"/>
      <c r="FD2" s="725" t="s">
        <v>128</v>
      </c>
      <c r="FE2" s="725" t="s">
        <v>352</v>
      </c>
      <c r="FF2" s="6"/>
      <c r="FH2" s="6"/>
      <c r="FI2" s="698"/>
      <c r="FJ2" s="699" t="s">
        <v>302</v>
      </c>
      <c r="FK2" s="699" t="s">
        <v>303</v>
      </c>
      <c r="FL2" s="699" t="str">
        <f>Z2</f>
        <v>Business Cost Allocator</v>
      </c>
      <c r="FM2" s="699" t="s">
        <v>353</v>
      </c>
      <c r="FN2" s="699" t="s">
        <v>301</v>
      </c>
      <c r="FO2" s="6"/>
      <c r="FR2" s="698"/>
      <c r="FS2" s="699" t="s">
        <v>302</v>
      </c>
      <c r="FT2" s="699" t="s">
        <v>303</v>
      </c>
      <c r="FU2" s="699" t="s">
        <v>354</v>
      </c>
      <c r="FV2" s="699" t="s">
        <v>49</v>
      </c>
      <c r="FW2" s="699" t="s">
        <v>355</v>
      </c>
      <c r="FX2" s="699" t="s">
        <v>53</v>
      </c>
      <c r="FY2" s="699" t="s">
        <v>51</v>
      </c>
      <c r="FZ2" s="699" t="s">
        <v>54</v>
      </c>
      <c r="GA2" s="699" t="s">
        <v>352</v>
      </c>
      <c r="GB2" s="699" t="s">
        <v>356</v>
      </c>
      <c r="GC2" s="699" t="s">
        <v>301</v>
      </c>
      <c r="GD2" s="6"/>
      <c r="GG2" s="698"/>
      <c r="GH2" s="699" t="s">
        <v>302</v>
      </c>
      <c r="GI2" s="699" t="s">
        <v>303</v>
      </c>
      <c r="GJ2" s="699" t="s">
        <v>357</v>
      </c>
      <c r="GK2" s="699" t="s">
        <v>358</v>
      </c>
      <c r="GL2" s="699" t="s">
        <v>359</v>
      </c>
      <c r="GM2" s="699" t="s">
        <v>360</v>
      </c>
      <c r="GN2" s="699" t="s">
        <v>361</v>
      </c>
      <c r="GO2" s="699" t="s">
        <v>362</v>
      </c>
      <c r="GP2" s="699" t="s">
        <v>363</v>
      </c>
      <c r="GQ2" s="699" t="s">
        <v>301</v>
      </c>
      <c r="GR2" s="699" t="s">
        <v>119</v>
      </c>
      <c r="GS2" s="48"/>
      <c r="GV2" s="698"/>
      <c r="GW2" s="699" t="s">
        <v>302</v>
      </c>
      <c r="GX2" s="699" t="s">
        <v>303</v>
      </c>
      <c r="GY2" s="699" t="s">
        <v>309</v>
      </c>
      <c r="GZ2" s="699" t="s">
        <v>356</v>
      </c>
      <c r="HA2" s="699" t="s">
        <v>119</v>
      </c>
      <c r="HB2" s="699" t="s">
        <v>364</v>
      </c>
      <c r="HC2" s="699" t="s">
        <v>365</v>
      </c>
      <c r="HD2" s="699" t="s">
        <v>366</v>
      </c>
      <c r="HE2" s="6"/>
      <c r="HH2" s="698"/>
      <c r="HI2" s="699" t="s">
        <v>309</v>
      </c>
      <c r="HJ2" s="699" t="s">
        <v>356</v>
      </c>
      <c r="HK2" s="699" t="s">
        <v>119</v>
      </c>
      <c r="HL2" s="699" t="s">
        <v>365</v>
      </c>
      <c r="HM2" s="699" t="s">
        <v>366</v>
      </c>
      <c r="HN2" s="6"/>
      <c r="HQ2" s="698"/>
      <c r="HR2" s="727" t="s">
        <v>302</v>
      </c>
      <c r="HS2" s="727" t="str">
        <f>FT2</f>
        <v>Container Stream</v>
      </c>
      <c r="HT2" s="727" t="s">
        <v>119</v>
      </c>
      <c r="HU2" s="727" t="s">
        <v>367</v>
      </c>
      <c r="HV2" s="727" t="s">
        <v>368</v>
      </c>
      <c r="HW2" s="727" t="s">
        <v>74</v>
      </c>
      <c r="HX2" s="727" t="s">
        <v>369</v>
      </c>
      <c r="HY2" s="727" t="s">
        <v>370</v>
      </c>
      <c r="HZ2" s="6"/>
      <c r="IC2" s="727" t="s">
        <v>371</v>
      </c>
      <c r="ID2" s="727" t="s">
        <v>372</v>
      </c>
      <c r="IE2" s="727" t="s">
        <v>373</v>
      </c>
      <c r="IF2" s="727" t="s">
        <v>374</v>
      </c>
      <c r="IG2" s="727" t="s">
        <v>375</v>
      </c>
      <c r="IH2" s="727" t="s">
        <v>299</v>
      </c>
      <c r="II2" s="727" t="s">
        <v>376</v>
      </c>
      <c r="IJ2" s="727" t="s">
        <v>377</v>
      </c>
      <c r="IK2" s="727" t="s">
        <v>378</v>
      </c>
      <c r="IL2" s="727" t="s">
        <v>379</v>
      </c>
      <c r="IM2" s="6"/>
      <c r="IO2" s="6"/>
      <c r="IP2" s="698"/>
      <c r="IQ2" s="727" t="s">
        <v>302</v>
      </c>
      <c r="IR2" s="727" t="s">
        <v>303</v>
      </c>
      <c r="IS2" s="727" t="s">
        <v>356</v>
      </c>
      <c r="IT2" s="727" t="s">
        <v>119</v>
      </c>
      <c r="IU2" s="727" t="s">
        <v>380</v>
      </c>
      <c r="IV2" s="727" t="s">
        <v>381</v>
      </c>
      <c r="IW2" s="727" t="s">
        <v>382</v>
      </c>
      <c r="IX2" s="727" t="s">
        <v>383</v>
      </c>
      <c r="IY2" s="728" t="s">
        <v>384</v>
      </c>
      <c r="IZ2" s="728" t="s">
        <v>385</v>
      </c>
      <c r="JA2" s="728" t="s">
        <v>386</v>
      </c>
      <c r="JB2" s="728" t="s">
        <v>387</v>
      </c>
      <c r="JC2" s="728" t="s">
        <v>388</v>
      </c>
      <c r="JG2" s="698"/>
      <c r="JH2" s="727" t="s">
        <v>302</v>
      </c>
      <c r="JI2" s="727" t="str">
        <f>FT2</f>
        <v>Container Stream</v>
      </c>
      <c r="JJ2" s="727" t="s">
        <v>119</v>
      </c>
      <c r="JK2" s="727" t="s">
        <v>389</v>
      </c>
      <c r="JL2" s="727" t="s">
        <v>390</v>
      </c>
      <c r="JM2" s="727" t="s">
        <v>74</v>
      </c>
      <c r="JN2" s="727" t="s">
        <v>369</v>
      </c>
      <c r="JO2" s="727" t="s">
        <v>370</v>
      </c>
      <c r="JT2" s="932" t="s">
        <v>446</v>
      </c>
      <c r="JU2" s="932" t="s">
        <v>134</v>
      </c>
      <c r="JV2" s="933" t="s">
        <v>119</v>
      </c>
      <c r="JW2" s="934" t="s">
        <v>447</v>
      </c>
      <c r="JX2" s="10" t="s">
        <v>451</v>
      </c>
      <c r="KH2" s="45"/>
    </row>
    <row r="3" spans="1:294" ht="18.75" customHeight="1" x14ac:dyDescent="0.3">
      <c r="B3" s="696" t="s">
        <v>135</v>
      </c>
      <c r="C3" s="696" t="s">
        <v>136</v>
      </c>
      <c r="D3" s="696" t="s">
        <v>137</v>
      </c>
      <c r="E3" s="696" t="s">
        <v>161</v>
      </c>
      <c r="F3" s="696" t="s">
        <v>139</v>
      </c>
      <c r="G3" s="8"/>
      <c r="H3" s="112"/>
      <c r="I3" s="8"/>
      <c r="J3" s="696" t="s">
        <v>135</v>
      </c>
      <c r="K3" s="696" t="s">
        <v>136</v>
      </c>
      <c r="L3" s="696" t="s">
        <v>137</v>
      </c>
      <c r="M3" s="696" t="s">
        <v>149</v>
      </c>
      <c r="N3" s="696" t="s">
        <v>139</v>
      </c>
      <c r="O3" s="696" t="s">
        <v>140</v>
      </c>
      <c r="P3" s="696" t="s">
        <v>141</v>
      </c>
      <c r="Q3" s="696" t="s">
        <v>142</v>
      </c>
      <c r="R3" s="696" t="s">
        <v>143</v>
      </c>
      <c r="S3" s="696"/>
      <c r="T3" s="112"/>
      <c r="U3" s="696"/>
      <c r="V3" s="696" t="s">
        <v>135</v>
      </c>
      <c r="W3" s="228" t="s">
        <v>136</v>
      </c>
      <c r="X3" s="228" t="s">
        <v>137</v>
      </c>
      <c r="Y3" s="228" t="s">
        <v>149</v>
      </c>
      <c r="Z3" s="228" t="s">
        <v>139</v>
      </c>
      <c r="AA3" s="696"/>
      <c r="AB3" s="112"/>
      <c r="AC3" s="696"/>
      <c r="AD3" s="696" t="s">
        <v>135</v>
      </c>
      <c r="AE3" s="696" t="s">
        <v>136</v>
      </c>
      <c r="AF3" s="696" t="s">
        <v>137</v>
      </c>
      <c r="AG3" s="696" t="s">
        <v>149</v>
      </c>
      <c r="AH3" s="696"/>
      <c r="AI3" s="112"/>
      <c r="AJ3" s="696"/>
      <c r="AK3" s="775" t="s">
        <v>135</v>
      </c>
      <c r="AL3" s="228" t="s">
        <v>136</v>
      </c>
      <c r="AM3" s="228" t="s">
        <v>137</v>
      </c>
      <c r="AN3" s="696"/>
      <c r="AO3" s="112"/>
      <c r="AP3" s="696"/>
      <c r="AQ3" s="775" t="s">
        <v>135</v>
      </c>
      <c r="AR3" s="228" t="s">
        <v>136</v>
      </c>
      <c r="AS3" s="228" t="s">
        <v>137</v>
      </c>
      <c r="AT3" s="228" t="s">
        <v>149</v>
      </c>
      <c r="AU3" s="782" t="s">
        <v>139</v>
      </c>
      <c r="AV3" s="228" t="s">
        <v>140</v>
      </c>
      <c r="AW3" s="228" t="s">
        <v>141</v>
      </c>
      <c r="AX3" s="228" t="s">
        <v>142</v>
      </c>
      <c r="AY3" s="228" t="s">
        <v>143</v>
      </c>
      <c r="AZ3" s="696" t="s">
        <v>145</v>
      </c>
      <c r="BA3" s="696" t="s">
        <v>144</v>
      </c>
      <c r="BB3" s="696"/>
      <c r="BC3" s="112"/>
      <c r="BD3" s="696"/>
      <c r="BE3" s="696" t="s">
        <v>135</v>
      </c>
      <c r="BF3" s="696" t="s">
        <v>136</v>
      </c>
      <c r="BG3" s="696" t="s">
        <v>149</v>
      </c>
      <c r="BH3" s="696" t="s">
        <v>139</v>
      </c>
      <c r="BI3" s="696"/>
      <c r="BJ3" s="112"/>
      <c r="BK3" s="696"/>
      <c r="BL3" s="696" t="s">
        <v>135</v>
      </c>
      <c r="BM3" s="228" t="s">
        <v>136</v>
      </c>
      <c r="BN3" s="228" t="s">
        <v>137</v>
      </c>
      <c r="BO3" s="228" t="s">
        <v>161</v>
      </c>
      <c r="BP3" s="228" t="s">
        <v>139</v>
      </c>
      <c r="BQ3" s="228" t="s">
        <v>140</v>
      </c>
      <c r="BR3" s="228" t="s">
        <v>141</v>
      </c>
      <c r="BS3" s="226" t="s">
        <v>142</v>
      </c>
      <c r="BT3" s="226" t="s">
        <v>143</v>
      </c>
      <c r="BU3" s="696"/>
      <c r="BV3" s="112"/>
      <c r="BW3" s="696"/>
      <c r="BX3" s="696" t="s">
        <v>135</v>
      </c>
      <c r="BY3" s="696" t="s">
        <v>136</v>
      </c>
      <c r="BZ3" s="696" t="s">
        <v>137</v>
      </c>
      <c r="CA3" s="696" t="s">
        <v>149</v>
      </c>
      <c r="CB3" s="696" t="s">
        <v>139</v>
      </c>
      <c r="CC3" s="696" t="s">
        <v>140</v>
      </c>
      <c r="CD3" s="696" t="s">
        <v>141</v>
      </c>
      <c r="CE3" s="696" t="s">
        <v>142</v>
      </c>
      <c r="CF3" s="696"/>
      <c r="CG3" s="112"/>
      <c r="CH3" s="696"/>
      <c r="CI3" s="696" t="s">
        <v>135</v>
      </c>
      <c r="CJ3" s="696" t="s">
        <v>136</v>
      </c>
      <c r="CK3" s="696" t="s">
        <v>137</v>
      </c>
      <c r="CL3" s="696" t="s">
        <v>149</v>
      </c>
      <c r="CM3" s="696" t="s">
        <v>139</v>
      </c>
      <c r="CN3" s="696" t="s">
        <v>140</v>
      </c>
      <c r="CO3" s="696" t="s">
        <v>141</v>
      </c>
      <c r="CP3" s="696" t="s">
        <v>142</v>
      </c>
      <c r="CQ3" s="696" t="s">
        <v>143</v>
      </c>
      <c r="CR3" s="696" t="s">
        <v>144</v>
      </c>
      <c r="CS3" s="696"/>
      <c r="CT3" s="112"/>
      <c r="CU3" s="696"/>
      <c r="CV3" s="696" t="s">
        <v>135</v>
      </c>
      <c r="CW3" s="696" t="s">
        <v>136</v>
      </c>
      <c r="CX3" s="696" t="s">
        <v>137</v>
      </c>
      <c r="CY3" s="696" t="s">
        <v>161</v>
      </c>
      <c r="CZ3" s="696" t="s">
        <v>139</v>
      </c>
      <c r="DA3" s="696" t="s">
        <v>162</v>
      </c>
      <c r="DB3" s="696" t="s">
        <v>391</v>
      </c>
      <c r="DC3" s="696" t="s">
        <v>142</v>
      </c>
      <c r="DD3" s="696" t="s">
        <v>392</v>
      </c>
      <c r="DE3" s="696"/>
      <c r="DF3" s="112"/>
      <c r="DG3" s="696"/>
      <c r="DH3" s="696" t="s">
        <v>135</v>
      </c>
      <c r="DI3" s="696" t="s">
        <v>136</v>
      </c>
      <c r="DJ3" s="696" t="s">
        <v>137</v>
      </c>
      <c r="DK3" s="696" t="s">
        <v>149</v>
      </c>
      <c r="DL3" s="696" t="s">
        <v>139</v>
      </c>
      <c r="DM3" s="696" t="s">
        <v>140</v>
      </c>
      <c r="DN3" s="696" t="s">
        <v>141</v>
      </c>
      <c r="DO3" s="696" t="s">
        <v>142</v>
      </c>
      <c r="DP3" s="696" t="s">
        <v>143</v>
      </c>
      <c r="DQ3" s="696" t="s">
        <v>144</v>
      </c>
      <c r="DR3" s="696" t="s">
        <v>145</v>
      </c>
      <c r="DS3" s="696" t="s">
        <v>146</v>
      </c>
      <c r="DT3" s="696"/>
      <c r="DU3" s="112"/>
      <c r="DV3" s="696"/>
      <c r="DW3" s="696" t="s">
        <v>135</v>
      </c>
      <c r="DX3" s="696" t="s">
        <v>136</v>
      </c>
      <c r="DY3" s="696" t="s">
        <v>137</v>
      </c>
      <c r="DZ3" s="696" t="s">
        <v>149</v>
      </c>
      <c r="EA3" s="696" t="s">
        <v>139</v>
      </c>
      <c r="EB3" s="696" t="s">
        <v>162</v>
      </c>
      <c r="EC3" s="696"/>
      <c r="ED3" s="112"/>
      <c r="EE3" s="696"/>
      <c r="EF3" s="696" t="s">
        <v>135</v>
      </c>
      <c r="EG3" s="696" t="s">
        <v>136</v>
      </c>
      <c r="EH3" s="696" t="s">
        <v>137</v>
      </c>
      <c r="EI3" s="696" t="s">
        <v>149</v>
      </c>
      <c r="EJ3" s="696" t="s">
        <v>139</v>
      </c>
      <c r="EK3" s="696"/>
      <c r="EL3" s="112"/>
      <c r="EM3" s="696"/>
      <c r="EN3" s="696" t="s">
        <v>135</v>
      </c>
      <c r="EO3" s="696" t="s">
        <v>136</v>
      </c>
      <c r="EP3" s="696" t="s">
        <v>137</v>
      </c>
      <c r="EQ3" s="696" t="s">
        <v>149</v>
      </c>
      <c r="ER3" s="696" t="s">
        <v>139</v>
      </c>
      <c r="ES3" s="696" t="s">
        <v>140</v>
      </c>
      <c r="ET3" s="696" t="s">
        <v>141</v>
      </c>
      <c r="EU3" s="696" t="s">
        <v>142</v>
      </c>
      <c r="EV3" s="696" t="s">
        <v>143</v>
      </c>
      <c r="EW3" s="696" t="s">
        <v>144</v>
      </c>
      <c r="EX3" s="696" t="s">
        <v>145</v>
      </c>
      <c r="EY3" s="696" t="s">
        <v>146</v>
      </c>
      <c r="EZ3" s="696"/>
      <c r="FA3" s="112"/>
      <c r="FB3" s="696"/>
      <c r="FC3" s="696" t="s">
        <v>135</v>
      </c>
      <c r="FD3" s="696" t="s">
        <v>136</v>
      </c>
      <c r="FE3" s="696" t="s">
        <v>137</v>
      </c>
      <c r="FF3" s="696"/>
      <c r="FG3" s="112"/>
      <c r="FH3" s="696"/>
      <c r="FI3" s="696" t="s">
        <v>135</v>
      </c>
      <c r="FJ3" s="696" t="s">
        <v>136</v>
      </c>
      <c r="FK3" s="696" t="s">
        <v>137</v>
      </c>
      <c r="FL3" s="696" t="s">
        <v>149</v>
      </c>
      <c r="FM3" s="696" t="s">
        <v>139</v>
      </c>
      <c r="FN3" s="696" t="s">
        <v>162</v>
      </c>
      <c r="FO3" s="696"/>
      <c r="FP3" s="112"/>
      <c r="FQ3" s="696"/>
      <c r="FR3" s="696" t="s">
        <v>135</v>
      </c>
      <c r="FS3" s="696" t="s">
        <v>136</v>
      </c>
      <c r="FT3" s="696" t="s">
        <v>137</v>
      </c>
      <c r="FU3" s="696" t="s">
        <v>149</v>
      </c>
      <c r="FV3" s="696" t="s">
        <v>139</v>
      </c>
      <c r="FW3" s="696" t="s">
        <v>140</v>
      </c>
      <c r="FX3" s="696" t="s">
        <v>141</v>
      </c>
      <c r="FY3" s="696" t="s">
        <v>142</v>
      </c>
      <c r="FZ3" s="696" t="s">
        <v>143</v>
      </c>
      <c r="GA3" s="696" t="s">
        <v>144</v>
      </c>
      <c r="GB3" s="696" t="s">
        <v>145</v>
      </c>
      <c r="GC3" s="696" t="s">
        <v>146</v>
      </c>
      <c r="GD3" s="696"/>
      <c r="GE3" s="112"/>
      <c r="GF3" s="696"/>
      <c r="GG3" s="696" t="s">
        <v>135</v>
      </c>
      <c r="GH3" s="696" t="s">
        <v>136</v>
      </c>
      <c r="GI3" s="696" t="s">
        <v>137</v>
      </c>
      <c r="GJ3" s="696" t="s">
        <v>149</v>
      </c>
      <c r="GK3" s="696" t="s">
        <v>139</v>
      </c>
      <c r="GL3" s="696" t="s">
        <v>140</v>
      </c>
      <c r="GM3" s="696" t="s">
        <v>141</v>
      </c>
      <c r="GN3" s="696" t="s">
        <v>142</v>
      </c>
      <c r="GO3" s="696" t="s">
        <v>143</v>
      </c>
      <c r="GP3" s="696" t="s">
        <v>144</v>
      </c>
      <c r="GQ3" s="696" t="s">
        <v>145</v>
      </c>
      <c r="GR3" s="696" t="s">
        <v>146</v>
      </c>
      <c r="GS3" s="716"/>
      <c r="GT3" s="112"/>
      <c r="GU3" s="696"/>
      <c r="GV3" s="696" t="s">
        <v>135</v>
      </c>
      <c r="GW3" s="696" t="s">
        <v>136</v>
      </c>
      <c r="GX3" s="696" t="s">
        <v>137</v>
      </c>
      <c r="GY3" s="696" t="s">
        <v>149</v>
      </c>
      <c r="GZ3" s="696" t="s">
        <v>139</v>
      </c>
      <c r="HA3" s="696" t="s">
        <v>140</v>
      </c>
      <c r="HB3" s="696" t="s">
        <v>141</v>
      </c>
      <c r="HC3" s="696" t="s">
        <v>142</v>
      </c>
      <c r="HD3" s="696" t="s">
        <v>143</v>
      </c>
      <c r="HE3" s="696"/>
      <c r="HF3" s="112"/>
      <c r="HG3" s="696"/>
      <c r="HH3" s="696" t="s">
        <v>135</v>
      </c>
      <c r="HI3" s="696" t="s">
        <v>136</v>
      </c>
      <c r="HJ3" s="696" t="s">
        <v>137</v>
      </c>
      <c r="HK3" s="696" t="s">
        <v>149</v>
      </c>
      <c r="HL3" s="696" t="s">
        <v>139</v>
      </c>
      <c r="HM3" s="696" t="s">
        <v>140</v>
      </c>
      <c r="HN3" s="696"/>
      <c r="HO3" s="112"/>
      <c r="HP3" s="696"/>
      <c r="HQ3" s="696" t="s">
        <v>135</v>
      </c>
      <c r="HR3" s="696" t="s">
        <v>136</v>
      </c>
      <c r="HS3" s="696" t="s">
        <v>137</v>
      </c>
      <c r="HT3" s="696" t="s">
        <v>149</v>
      </c>
      <c r="HU3" s="696" t="s">
        <v>139</v>
      </c>
      <c r="HV3" s="696"/>
      <c r="HW3" s="696"/>
      <c r="HX3" s="696" t="s">
        <v>142</v>
      </c>
      <c r="HY3" s="696" t="s">
        <v>143</v>
      </c>
      <c r="HZ3" s="696"/>
      <c r="IA3" s="112"/>
      <c r="IB3" s="696"/>
      <c r="IC3" s="696" t="s">
        <v>136</v>
      </c>
      <c r="ID3" s="696" t="s">
        <v>137</v>
      </c>
      <c r="IE3" s="696" t="s">
        <v>149</v>
      </c>
      <c r="IF3" s="696" t="s">
        <v>139</v>
      </c>
      <c r="IG3" s="696" t="s">
        <v>140</v>
      </c>
      <c r="IH3" s="696" t="s">
        <v>141</v>
      </c>
      <c r="II3" s="696" t="s">
        <v>142</v>
      </c>
      <c r="IJ3" s="696" t="s">
        <v>143</v>
      </c>
      <c r="IK3" s="696" t="s">
        <v>144</v>
      </c>
      <c r="IL3" s="696" t="s">
        <v>145</v>
      </c>
      <c r="IM3" s="696"/>
      <c r="IN3" s="112"/>
      <c r="IO3" s="696"/>
      <c r="IP3" s="696" t="s">
        <v>135</v>
      </c>
      <c r="IQ3" s="696" t="s">
        <v>136</v>
      </c>
      <c r="IR3" s="696" t="s">
        <v>137</v>
      </c>
      <c r="IS3" s="696" t="s">
        <v>149</v>
      </c>
      <c r="IT3" s="696" t="s">
        <v>139</v>
      </c>
      <c r="IU3" s="696" t="s">
        <v>140</v>
      </c>
      <c r="IV3" s="696" t="s">
        <v>141</v>
      </c>
      <c r="IW3" s="696" t="s">
        <v>142</v>
      </c>
      <c r="IX3" s="696" t="s">
        <v>143</v>
      </c>
      <c r="IY3" s="696" t="s">
        <v>144</v>
      </c>
      <c r="IZ3" s="696" t="s">
        <v>145</v>
      </c>
      <c r="JA3" s="696" t="s">
        <v>146</v>
      </c>
      <c r="JB3" s="696" t="s">
        <v>147</v>
      </c>
      <c r="JC3" s="696" t="s">
        <v>148</v>
      </c>
      <c r="JD3" s="696"/>
      <c r="JE3" s="112"/>
      <c r="JF3" s="696"/>
      <c r="JG3" s="696" t="s">
        <v>135</v>
      </c>
      <c r="JH3" s="696" t="s">
        <v>136</v>
      </c>
      <c r="JI3" s="696" t="s">
        <v>137</v>
      </c>
      <c r="JJ3" s="696" t="s">
        <v>149</v>
      </c>
      <c r="JK3" s="696" t="s">
        <v>139</v>
      </c>
      <c r="JL3" s="696" t="s">
        <v>140</v>
      </c>
      <c r="JM3" s="696" t="s">
        <v>141</v>
      </c>
      <c r="JN3" s="696" t="s">
        <v>142</v>
      </c>
      <c r="JO3" s="696" t="s">
        <v>143</v>
      </c>
      <c r="JP3" s="696"/>
      <c r="JR3" s="112"/>
      <c r="JT3" s="936">
        <v>3.3121089265402568</v>
      </c>
      <c r="JU3" s="936">
        <f>JK4-JT3</f>
        <v>1.5125363825404303E-2</v>
      </c>
      <c r="JV3" s="13">
        <v>1110736372</v>
      </c>
      <c r="JW3" s="13">
        <f>JJ4-JV3</f>
        <v>-4865693.6898477077</v>
      </c>
      <c r="JX3" s="935" t="s">
        <v>455</v>
      </c>
      <c r="JY3" s="912">
        <f>-SUMPRODUCT(JT3:JT26,JW3:JW26)/100</f>
        <v>822970.66898177506</v>
      </c>
      <c r="KH3" s="50"/>
    </row>
    <row r="4" spans="1:294" ht="17.25" thickBot="1" x14ac:dyDescent="0.35">
      <c r="B4" s="756">
        <v>1</v>
      </c>
      <c r="C4" s="764" t="s">
        <v>47</v>
      </c>
      <c r="D4" s="906">
        <f>'DCA 3 month Phase I'!LJ27</f>
        <v>33850802.547557287</v>
      </c>
      <c r="E4" s="765">
        <v>0.29875344528702852</v>
      </c>
      <c r="F4" s="766">
        <v>1.545488877705318</v>
      </c>
      <c r="H4" s="152"/>
      <c r="J4" s="756">
        <v>1</v>
      </c>
      <c r="K4" s="757">
        <v>1</v>
      </c>
      <c r="L4" s="732" t="s">
        <v>398</v>
      </c>
      <c r="M4" s="904">
        <v>1105870678.3101523</v>
      </c>
      <c r="N4" s="944">
        <f>M4/$M$28</f>
        <v>0.50489521809937332</v>
      </c>
      <c r="O4" s="753">
        <v>2233.0532719472985</v>
      </c>
      <c r="P4" s="948">
        <f>IFERROR(M4/O4,0)</f>
        <v>495228.07727098931</v>
      </c>
      <c r="Q4" s="733">
        <f>P4/$P$28</f>
        <v>0.28311603853054812</v>
      </c>
      <c r="R4" s="758" t="s">
        <v>397</v>
      </c>
      <c r="T4" s="152"/>
      <c r="V4" s="730">
        <v>1</v>
      </c>
      <c r="W4" s="731">
        <f t="shared" ref="W4:W27" si="0">FS4</f>
        <v>1</v>
      </c>
      <c r="X4" s="732" t="s">
        <v>398</v>
      </c>
      <c r="Y4" s="924">
        <f>SUM(FU4:FY4)</f>
        <v>28701693.267466728</v>
      </c>
      <c r="Z4" s="944">
        <f>SUM(FU4:FY4)/SUM($FU$28:$FY$28)</f>
        <v>0.34409903260004959</v>
      </c>
      <c r="AB4" s="152"/>
      <c r="AD4" s="730">
        <v>1</v>
      </c>
      <c r="AE4" s="746">
        <v>1</v>
      </c>
      <c r="AF4" s="747" t="s">
        <v>398</v>
      </c>
      <c r="AG4" s="748">
        <v>1.94</v>
      </c>
      <c r="AI4" s="152"/>
      <c r="AK4" s="730">
        <v>1</v>
      </c>
      <c r="AL4" s="776" t="s">
        <v>394</v>
      </c>
      <c r="AM4" s="908">
        <f>'DCA 3 month Phase I'!LJ27+'DCA 3 month Phase I'!LL27</f>
        <v>35878442.315455228</v>
      </c>
      <c r="AN4" s="52"/>
      <c r="AO4" s="152"/>
      <c r="AP4" s="52"/>
      <c r="AQ4" s="730">
        <v>1</v>
      </c>
      <c r="AR4" s="783">
        <f t="shared" ref="AR4:AR27" si="1">FS4</f>
        <v>1</v>
      </c>
      <c r="AS4" s="732" t="s">
        <v>398</v>
      </c>
      <c r="AT4" s="732">
        <f t="shared" ref="AT4:AT27" si="2">VLOOKUP(AR4,$AE$4:$AG$27,$AT$30,FALSE)</f>
        <v>1.94</v>
      </c>
      <c r="AU4" s="784">
        <f>$M4</f>
        <v>1105870678.3101523</v>
      </c>
      <c r="AV4" s="784">
        <f>AU4*AT4/3600</f>
        <v>595941.42108935991</v>
      </c>
      <c r="AW4" s="785">
        <f t="shared" ref="AW4:AW27" si="3">AV4*$AM$5/$AV$28</f>
        <v>621505.91179540742</v>
      </c>
      <c r="AX4" s="786">
        <f t="shared" ref="AX4:AX27" si="4">$AM$6</f>
        <v>18.222331461311715</v>
      </c>
      <c r="AY4" s="379">
        <f>AW4*AX4</f>
        <v>11325286.729900677</v>
      </c>
      <c r="AZ4" s="51">
        <f>AY4/$AY$28</f>
        <v>0.31565714671570694</v>
      </c>
      <c r="BA4" s="53">
        <f t="shared" ref="BA4:BA27" si="5">IF($AU4=0,0,ROUND(IF(VLOOKUP(AR4,$AR$4:$AU$27,$BA$30,FALSE)&lt;&gt;0,AY4/VLOOKUP(AR4,$AR$4:$AU$27,$BA$30,FALSE)*100,""),6))</f>
        <v>1.024106</v>
      </c>
      <c r="BC4" s="152"/>
      <c r="BE4" s="756">
        <v>1</v>
      </c>
      <c r="BF4" s="732" t="str">
        <f>AZ2</f>
        <v>Direct and Collector Labour Allocator</v>
      </c>
      <c r="BG4" s="733">
        <v>0.5</v>
      </c>
      <c r="BH4" s="379">
        <f>BG4*$BH$6</f>
        <v>7855598.930964387</v>
      </c>
      <c r="BJ4" s="152"/>
      <c r="BL4" s="756">
        <v>1</v>
      </c>
      <c r="BM4" s="758">
        <f t="shared" ref="BM4:BM27" si="6">FS4</f>
        <v>1</v>
      </c>
      <c r="BN4" s="732" t="s">
        <v>398</v>
      </c>
      <c r="BO4" s="733">
        <f t="shared" ref="BO4:BO27" si="7">VLOOKUP(BM4,$AR$4:$AZ$28,$BO$30,FALSE)</f>
        <v>0.31565714671570694</v>
      </c>
      <c r="BP4" s="379">
        <f>BO4*$BP$28</f>
        <v>2479675.9442911763</v>
      </c>
      <c r="BQ4" s="733">
        <f t="shared" ref="BQ4:BQ27" si="8">VLOOKUP(BM4,$K$4:$N$27,$BQ$30,FALSE)</f>
        <v>0.50489521809937332</v>
      </c>
      <c r="BR4" s="379">
        <f>BQ4*$BR$28</f>
        <v>3966254.3355504679</v>
      </c>
      <c r="BS4" s="807">
        <f t="shared" ref="BS4:BS27" si="9">BR4+BP4</f>
        <v>6445930.2798416447</v>
      </c>
      <c r="BT4" s="808">
        <f t="shared" ref="BT4:BT26" si="10">IF($AU4=0,0,ROUND(IF(VLOOKUP(BM4,$AR$4:$AU$27,$BA$30,FALSE)&lt;&gt;0,BS4/VLOOKUP(BM4,$AR$4:$AU$27,$BA$30,FALSE)*100,""),6))</f>
        <v>0.58288300000000004</v>
      </c>
      <c r="BV4" s="152"/>
      <c r="BX4" s="756">
        <v>1</v>
      </c>
      <c r="BY4" s="732" t="s">
        <v>395</v>
      </c>
      <c r="BZ4" s="765">
        <v>7.7020923698511642E-2</v>
      </c>
      <c r="CA4" s="821">
        <f>BZ4*$CA$9</f>
        <v>1752639.4670561224</v>
      </c>
      <c r="CB4" s="766">
        <v>1</v>
      </c>
      <c r="CC4" s="766"/>
      <c r="CD4" s="821">
        <f t="shared" ref="CD4:CE8" si="11">CB4*$CA4</f>
        <v>1752639.4670561224</v>
      </c>
      <c r="CE4" s="821">
        <f t="shared" si="11"/>
        <v>0</v>
      </c>
      <c r="CG4" s="152"/>
      <c r="CI4" s="730">
        <v>1</v>
      </c>
      <c r="CJ4" s="746">
        <f t="shared" ref="CJ4:CJ27" si="12">FS4</f>
        <v>1</v>
      </c>
      <c r="CK4" s="732" t="s">
        <v>398</v>
      </c>
      <c r="CL4" s="733">
        <f t="shared" ref="CL4:CL27" si="13">VLOOKUP(CJ4,$K$4:$N$27,$CL$31,FALSE)</f>
        <v>0.50489521809937332</v>
      </c>
      <c r="CM4" s="379">
        <f t="shared" ref="CM4:CM27" si="14">CL4*$CM$28</f>
        <v>2703330.2354887179</v>
      </c>
      <c r="CN4" s="733">
        <f t="shared" ref="CN4:CN27" si="15">VLOOKUP(CJ4,$K$4:$Q$27,$CN$31,FALSE)</f>
        <v>0.28311603853054812</v>
      </c>
      <c r="CO4" s="379">
        <f t="shared" ref="CO4:CO27" si="16">CN4*$CO$28</f>
        <v>4926538.4069304075</v>
      </c>
      <c r="CP4" s="379">
        <f t="shared" ref="CP4:CP27" si="17">CO4+CM4</f>
        <v>7629868.6424191259</v>
      </c>
      <c r="CQ4" s="733">
        <f t="shared" ref="CQ4:CQ27" si="18">CP4/$CP$28</f>
        <v>0.3352997245488894</v>
      </c>
      <c r="CR4" s="808">
        <f t="shared" ref="CR4:CR27" si="19">IF($AU4=0,0,ROUND(IF(VLOOKUP(CJ4,$AR$4:$AU$27,$BA$30,FALSE)&lt;&gt;0,CP4/VLOOKUP(CJ4,$AR$4:$AU$27,$BA$30,FALSE)*100,""),6))</f>
        <v>0.68994200000000006</v>
      </c>
      <c r="CT4" s="152"/>
      <c r="CV4" s="756">
        <v>1</v>
      </c>
      <c r="CW4" s="831" t="s">
        <v>393</v>
      </c>
      <c r="CX4" s="733">
        <v>0</v>
      </c>
      <c r="CY4" s="733">
        <v>0.5</v>
      </c>
      <c r="CZ4" s="832">
        <v>0.5</v>
      </c>
      <c r="DA4" s="906">
        <v>0</v>
      </c>
      <c r="DB4" s="906">
        <f>DD4*0.5</f>
        <v>1943000.592168268</v>
      </c>
      <c r="DC4" s="906">
        <f>DB4</f>
        <v>1943000.592168268</v>
      </c>
      <c r="DD4" s="906">
        <f>$DD$7*DD11</f>
        <v>3886001.1843365361</v>
      </c>
      <c r="DF4" s="152"/>
      <c r="DH4" s="730">
        <v>1</v>
      </c>
      <c r="DI4" s="840">
        <f t="shared" ref="DI4:DI27" si="20">FS4</f>
        <v>1</v>
      </c>
      <c r="DJ4" s="732" t="s">
        <v>398</v>
      </c>
      <c r="DK4" s="733">
        <f t="shared" ref="DK4:DK27" si="21">VLOOKUP(DI4,$CJ$4:$CQ$27,$DK$31,FALSE)</f>
        <v>0.3352997245488894</v>
      </c>
      <c r="DL4" s="379">
        <f>DK4*$DL$28</f>
        <v>105269.44905288813</v>
      </c>
      <c r="DM4" s="733">
        <f t="shared" ref="DM4:DM27" si="22">VLOOKUP(DI4,$K$4:$R$27,$DM$31,FALSE)</f>
        <v>0.28311603853054812</v>
      </c>
      <c r="DN4" s="379">
        <f t="shared" ref="DN4:DN27" si="23">DM4*$DN$28</f>
        <v>550094.63051718916</v>
      </c>
      <c r="DO4" s="733">
        <f t="shared" ref="DO4:DO27" si="24">VLOOKUP(DI4,$K$4:$R$27,$DO$31,FALSE)</f>
        <v>0.50489521809937332</v>
      </c>
      <c r="DP4" s="379">
        <f t="shared" ref="DP4:DP27" si="25">DO4*$DP$28</f>
        <v>1633337.6260036873</v>
      </c>
      <c r="DQ4" s="379">
        <f>DL4+DN4+DP4</f>
        <v>2288701.7055737646</v>
      </c>
      <c r="DR4" s="733">
        <f t="shared" ref="DR4:DR27" si="26">DQ4/$DQ$28</f>
        <v>0.41673677495548445</v>
      </c>
      <c r="DS4" s="808">
        <f t="shared" ref="DS4:DS27" si="27">IF($AU4=0,0,ROUND(IF(VLOOKUP(DI4,$AR$4:$AU$27,$BA$30,FALSE)&lt;&gt;0,DQ4/VLOOKUP(DI4,$AR$4:$AU$27,$BA$30,FALSE)*100,""),6))</f>
        <v>0.206959</v>
      </c>
      <c r="DU4" s="152"/>
      <c r="DW4" s="730">
        <v>1</v>
      </c>
      <c r="DX4" s="840">
        <f t="shared" ref="DX4:DX27" si="28">GH4</f>
        <v>1</v>
      </c>
      <c r="DY4" s="732" t="s">
        <v>398</v>
      </c>
      <c r="DZ4" s="733">
        <f t="shared" ref="DZ4:DZ27" si="29">VLOOKUP(DX4,$K$4:$R$27,$DZ$32,FALSE)</f>
        <v>0.28311603853054812</v>
      </c>
      <c r="EA4" s="379">
        <f t="shared" ref="EA4:EA27" si="30">DZ4*$EA$28</f>
        <v>1011905.9097315174</v>
      </c>
      <c r="EB4" s="808">
        <f t="shared" ref="EB4:EB27" si="31">IF($AU4=0,0,ROUND(IF(VLOOKUP(DX4,$AR$4:$AU$27,$BA$30,FALSE)&lt;&gt;0,EA4/VLOOKUP(DX4,$AR$4:$AU$27,$BA$30,FALSE)*100,""),6))</f>
        <v>9.1503000000000001E-2</v>
      </c>
      <c r="ED4" s="152"/>
      <c r="EF4" s="756">
        <v>1</v>
      </c>
      <c r="EG4" s="732" t="s">
        <v>396</v>
      </c>
      <c r="EH4" s="379">
        <v>6463181.7817969695</v>
      </c>
      <c r="EI4" s="765">
        <f>EH4/$EH$7</f>
        <v>0.66842565170833068</v>
      </c>
      <c r="EJ4" s="379">
        <f>EI4*$EJ$7</f>
        <v>7112966.3600382879</v>
      </c>
      <c r="EL4" s="152"/>
      <c r="EN4" s="730">
        <v>1</v>
      </c>
      <c r="EO4" s="840">
        <f t="shared" ref="EO4:EO27" si="32">FS4</f>
        <v>1</v>
      </c>
      <c r="EP4" s="732" t="s">
        <v>398</v>
      </c>
      <c r="EQ4" s="733">
        <f t="shared" ref="EQ4:EQ27" si="33">VLOOKUP(EO4,$W$4:$Z$27,$EQ$31,FALSE)</f>
        <v>0.34409903260004959</v>
      </c>
      <c r="ER4" s="379">
        <f t="shared" ref="ER4:ER27" si="34">EQ4*$ER$28</f>
        <v>2447564.8434058707</v>
      </c>
      <c r="ES4" s="733">
        <f t="shared" ref="ES4:ES27" si="35">VLOOKUP(EO4,$CJ$4:$CQ$27,$ES$31,FALSE)</f>
        <v>0.3352997245488894</v>
      </c>
      <c r="ET4" s="379">
        <f t="shared" ref="ET4:ET27" si="36">ES4*$ET$28</f>
        <v>321560.55386938923</v>
      </c>
      <c r="EU4" s="733">
        <f t="shared" ref="EU4:EU27" si="37">VLOOKUP(EO4,$K$4:$N$27,$EU$31,FALSE)</f>
        <v>0.50489521809937332</v>
      </c>
      <c r="EV4" s="379">
        <f t="shared" ref="EV4:EV27" si="38">EU4*$EV$28</f>
        <v>1297268.6580785171</v>
      </c>
      <c r="EW4" s="379">
        <f t="shared" ref="EW4:EW27" si="39">ER4+ET4+EV4</f>
        <v>4066394.0553537766</v>
      </c>
      <c r="EX4" s="733">
        <f t="shared" ref="EX4:EX27" si="40">EW4/$EW$28</f>
        <v>0.38213059910184921</v>
      </c>
      <c r="EY4" s="808">
        <f t="shared" ref="EY4:EY27" si="41">IF($AU4=0,0,ROUND(IF(VLOOKUP(EO4,$AR$4:$AU$27,$BA$30,FALSE)&lt;&gt;0,EW4/VLOOKUP(EO4,$AR$4:$AU$27,$BA$30,FALSE)*100,""),6))</f>
        <v>0.36770999999999998</v>
      </c>
      <c r="FA4" s="152"/>
      <c r="FC4" s="756">
        <v>1</v>
      </c>
      <c r="FD4" s="764" t="s">
        <v>250</v>
      </c>
      <c r="FE4" s="379">
        <f>D11</f>
        <v>18998322.143907189</v>
      </c>
      <c r="FG4" s="152"/>
      <c r="FI4" s="730">
        <v>1</v>
      </c>
      <c r="FJ4" s="731">
        <f t="shared" ref="FJ4:FJ27" si="42">FS4</f>
        <v>1</v>
      </c>
      <c r="FK4" s="732" t="s">
        <v>398</v>
      </c>
      <c r="FL4" s="733">
        <f t="shared" ref="FL4:FL28" si="43">Z4</f>
        <v>0.34409903260004959</v>
      </c>
      <c r="FM4" s="379">
        <f t="shared" ref="FM4:FM27" si="44">Z4*$FM$28</f>
        <v>6466869.4052434964</v>
      </c>
      <c r="FN4" s="808">
        <f t="shared" ref="FN4:FN27" si="45">IF($AU4=0,0,ROUND(IF(VLOOKUP(FJ4,$AR$4:$AU$27,$BA$30,FALSE)&lt;&gt;0,FM4/VLOOKUP(FJ4,$AR$4:$AU$27,$BA$30,FALSE)*100,""),6))</f>
        <v>0.58477599999999996</v>
      </c>
      <c r="FP4" s="152"/>
      <c r="FR4" s="730">
        <v>1</v>
      </c>
      <c r="FS4" s="731">
        <v>1</v>
      </c>
      <c r="FT4" s="732" t="s">
        <v>398</v>
      </c>
      <c r="FU4" s="379">
        <f t="shared" ref="FU4:FU27" si="46">VLOOKUP(FS4,$AR$4:$BA$27,$FU$30,FALSE)</f>
        <v>11325286.729900677</v>
      </c>
      <c r="FV4" s="379">
        <f t="shared" ref="FV4:FV27" si="47">VLOOKUP(FS4,$BM$4:$BT$86,$FV$30,FALSE)</f>
        <v>6445930.2798416447</v>
      </c>
      <c r="FW4" s="379">
        <f t="shared" ref="FW4:FW27" si="48">VLOOKUP(FS4,$CJ$4:$CR$27,$FW$30,FALSE)</f>
        <v>7629868.6424191259</v>
      </c>
      <c r="FX4" s="379">
        <f t="shared" ref="FX4:FX27" si="49">VLOOKUP(FS4,$DI$4:$DQ$27,$FX$30,FALSE)</f>
        <v>2288701.7055737646</v>
      </c>
      <c r="FY4" s="379">
        <f t="shared" ref="FY4:FY27" si="50">VLOOKUP(FS4,$DX$4:$EB$27,$FY$30,FALSE)</f>
        <v>1011905.9097315174</v>
      </c>
      <c r="FZ4" s="379">
        <f t="shared" ref="FZ4:FZ27" si="51">VLOOKUP(FS4,$EO$4:$EW$28,$FZ$31,FALSE)</f>
        <v>4066394.0553537766</v>
      </c>
      <c r="GA4" s="379">
        <f t="shared" ref="GA4:GA27" si="52">VLOOKUP(FS4,$FJ$4:$FM$27,$GA$30,FALSE)</f>
        <v>6466869.4052434964</v>
      </c>
      <c r="GB4" s="379">
        <f t="shared" ref="GB4:GB23" si="53">SUM(FU4:GA4)</f>
        <v>39234956.728064001</v>
      </c>
      <c r="GC4" s="852">
        <f t="shared" ref="GC4:GC27" si="54">IF($AU4=0,0,ROUND(IF(VLOOKUP(FS4,$AR$4:$AU$27,$BA$30,FALSE)&lt;&gt;0,GB4/VLOOKUP(FS4,$AR$4:$AU$27,$BA$30,FALSE)*100,""),6))</f>
        <v>3.547879</v>
      </c>
      <c r="GE4" s="152"/>
      <c r="GG4" s="730">
        <v>1</v>
      </c>
      <c r="GH4" s="731">
        <f t="shared" ref="GH4:GH27" si="55">FS4</f>
        <v>1</v>
      </c>
      <c r="GI4" s="732" t="s">
        <v>398</v>
      </c>
      <c r="GJ4" s="808">
        <f t="shared" ref="GJ4:GJ27" si="56">VLOOKUP(GH4,$AR$4:$BA$27,$GJ$30,FALSE)</f>
        <v>1.024106</v>
      </c>
      <c r="GK4" s="808">
        <f t="shared" ref="GK4:GK27" si="57">VLOOKUP(GH4,$BM$4:$BT$27,$GK$30,FALSE)</f>
        <v>0.58288300000000004</v>
      </c>
      <c r="GL4" s="808">
        <f t="shared" ref="GL4:GL27" si="58">VLOOKUP(GH4,$CJ$4:$CR$27,$GL$30,FALSE)</f>
        <v>0.68994200000000006</v>
      </c>
      <c r="GM4" s="808">
        <f t="shared" ref="GM4:GM27" si="59">VLOOKUP(GH4,$DI$4:$DS$27,$GM$30,FALSE)</f>
        <v>0.206959</v>
      </c>
      <c r="GN4" s="808">
        <f t="shared" ref="GN4:GN27" si="60">VLOOKUP(GH4,$DX$4:$EB$27,$GN$30,FALSE)</f>
        <v>9.1503000000000001E-2</v>
      </c>
      <c r="GO4" s="808">
        <f t="shared" ref="GO4:GO27" si="61">VLOOKUP(GH4,$EO$4:$EY$28,$GO$30,FALSE)</f>
        <v>0.36770999999999998</v>
      </c>
      <c r="GP4" s="808">
        <f t="shared" ref="GP4:GP27" si="62">VLOOKUP(GH4,$FJ$4:$FN$27,$GP$30,FALSE)</f>
        <v>0.58477599999999996</v>
      </c>
      <c r="GQ4" s="808">
        <f t="shared" ref="GQ4:GQ27" si="63">VLOOKUP(GH4,$FS$4:$GC$27,$GQ$30,FALSE)</f>
        <v>3.547879</v>
      </c>
      <c r="GR4" s="784">
        <f>$M4</f>
        <v>1105870678.3101523</v>
      </c>
      <c r="GS4" s="716"/>
      <c r="GT4" s="152"/>
      <c r="GV4" s="717">
        <v>1</v>
      </c>
      <c r="GW4" s="731">
        <v>1</v>
      </c>
      <c r="GX4" s="732" t="s">
        <v>398</v>
      </c>
      <c r="GY4" s="758" t="s">
        <v>397</v>
      </c>
      <c r="GZ4" s="906">
        <f>GB4</f>
        <v>39234956.728064001</v>
      </c>
      <c r="HA4" s="784">
        <f>$M4</f>
        <v>1105870678.3101523</v>
      </c>
      <c r="HB4" s="922">
        <f>ROUND(IF(HA4&lt;&gt;0,GZ4/HA4*100,0),6)</f>
        <v>3.547879</v>
      </c>
      <c r="HC4" s="942">
        <f>ROUND(HB4,10)*HA4/100</f>
        <v>39234953.562923454</v>
      </c>
      <c r="HD4" s="857">
        <v>-3.4865899011492729</v>
      </c>
      <c r="HE4" s="54"/>
      <c r="HF4" s="152"/>
      <c r="HH4" s="756">
        <v>1</v>
      </c>
      <c r="HI4" s="732" t="s">
        <v>397</v>
      </c>
      <c r="HJ4" s="861">
        <v>110332325.27195437</v>
      </c>
      <c r="HK4" s="926">
        <f>HJ4/$HJ$6</f>
        <v>0.9815824312040301</v>
      </c>
      <c r="HL4" s="927">
        <f>SUMIF($GY$4:$GY$27,$HI4,HC$4:HC$27)</f>
        <v>110676774.46584561</v>
      </c>
      <c r="HM4" s="857">
        <v>-3.0492196594498182</v>
      </c>
      <c r="HN4" s="54"/>
      <c r="HO4" s="152"/>
      <c r="HQ4" s="730">
        <v>1</v>
      </c>
      <c r="HR4" s="867">
        <v>1</v>
      </c>
      <c r="HS4" s="732" t="s">
        <v>398</v>
      </c>
      <c r="HT4" s="784">
        <f>$M4</f>
        <v>1105870678.3101523</v>
      </c>
      <c r="HU4" s="917">
        <f>HB4</f>
        <v>3.547879</v>
      </c>
      <c r="HV4" s="868"/>
      <c r="HW4" s="765"/>
      <c r="HX4" s="868">
        <v>-0.76812300000000011</v>
      </c>
      <c r="HY4" s="766">
        <v>10</v>
      </c>
      <c r="IA4" s="152"/>
      <c r="IC4" s="876">
        <v>2112495296</v>
      </c>
      <c r="ID4" s="876">
        <f>M28</f>
        <v>2190297389.769485</v>
      </c>
      <c r="IE4" s="877">
        <f>(ID4-IC4)/IC4</f>
        <v>3.6829475510219076E-2</v>
      </c>
      <c r="IF4" s="876">
        <v>1500000</v>
      </c>
      <c r="IG4" s="878">
        <f>HU28</f>
        <v>5.1520921904776671</v>
      </c>
      <c r="IH4" s="879">
        <f>IG4*ID4/100</f>
        <v>112846140.76654981</v>
      </c>
      <c r="II4" s="880">
        <v>1.4999999999999999E-2</v>
      </c>
      <c r="IJ4" s="940">
        <v>317261869.99999994</v>
      </c>
      <c r="IK4" s="877">
        <f>IJ4/ID4</f>
        <v>0.1448487641367229</v>
      </c>
      <c r="IL4" s="877">
        <f>SUM(HT8,HT15,HT17,HT23:HT24,HT27)/HT28</f>
        <v>1.5280508809129107E-2</v>
      </c>
      <c r="IN4" s="152"/>
      <c r="IP4" s="730">
        <v>1</v>
      </c>
      <c r="IQ4" s="867">
        <v>1</v>
      </c>
      <c r="IR4" s="732" t="s">
        <v>398</v>
      </c>
      <c r="IS4" s="913">
        <f>HC4</f>
        <v>39234953.562923454</v>
      </c>
      <c r="IT4" s="915">
        <f>$M4</f>
        <v>1105870678.3101523</v>
      </c>
      <c r="IU4" s="918">
        <f>HB4</f>
        <v>3.547879</v>
      </c>
      <c r="IV4" s="904">
        <f>IT4*$IK$4/(1-$IL$4)</f>
        <v>162669676.47258249</v>
      </c>
      <c r="IW4" s="904">
        <f>IT4-IV4</f>
        <v>943201001.83756983</v>
      </c>
      <c r="IX4" s="913">
        <f>IV4*$II$4</f>
        <v>2440045.1470887372</v>
      </c>
      <c r="IY4" s="881">
        <f>IS4-IX4</f>
        <v>36794908.415834717</v>
      </c>
      <c r="IZ4" s="928">
        <f>100*IY4/IT4</f>
        <v>3.3272342903656611</v>
      </c>
      <c r="JA4" s="928">
        <f>IZ4+1.5</f>
        <v>4.8272342903656611</v>
      </c>
      <c r="JB4" s="913">
        <f>(IV4*JA4+IW4*IZ4)/100</f>
        <v>39234953.562923461</v>
      </c>
      <c r="JC4" s="852">
        <v>0.22223277175728606</v>
      </c>
      <c r="JE4" s="152"/>
      <c r="JG4" s="730">
        <v>1</v>
      </c>
      <c r="JH4" s="867">
        <v>1</v>
      </c>
      <c r="JI4" s="732" t="s">
        <v>398</v>
      </c>
      <c r="JJ4" s="784">
        <f>$M4</f>
        <v>1105870678.3101523</v>
      </c>
      <c r="JK4" s="917">
        <f>IZ4</f>
        <v>3.3272342903656611</v>
      </c>
      <c r="JL4" s="868">
        <v>4.1070000000000002</v>
      </c>
      <c r="JM4" s="765"/>
      <c r="JN4" s="868"/>
      <c r="JO4" s="766">
        <v>10</v>
      </c>
      <c r="JR4" s="152"/>
      <c r="JT4" s="936">
        <v>40.789676926540267</v>
      </c>
      <c r="JU4" s="936">
        <f t="shared" ref="JU4:JU27" si="64">JK5-JT4</f>
        <v>0.20478736382538898</v>
      </c>
      <c r="JV4" s="13">
        <v>986723</v>
      </c>
      <c r="JW4" s="13">
        <f t="shared" ref="JW4:JW27" si="65">JJ5-JV4</f>
        <v>-1578.3992572098505</v>
      </c>
      <c r="JX4" s="935" t="s">
        <v>454</v>
      </c>
      <c r="JY4" s="912">
        <f>SUMPRODUCT(JU3:JU26,JJ4:JJ27)/100</f>
        <v>505824.91638525284</v>
      </c>
    </row>
    <row r="5" spans="1:294" x14ac:dyDescent="0.3">
      <c r="B5" s="338">
        <v>2</v>
      </c>
      <c r="C5" s="767" t="s">
        <v>58</v>
      </c>
      <c r="D5" s="906">
        <f>'DCA 3 month Phase I'!LL27</f>
        <v>2027639.7678979416</v>
      </c>
      <c r="E5" s="768">
        <v>1.7895125694862252E-2</v>
      </c>
      <c r="F5" s="769">
        <v>9.2573719777447133E-2</v>
      </c>
      <c r="H5" s="225"/>
      <c r="J5" s="338">
        <v>2</v>
      </c>
      <c r="K5" s="759">
        <v>2</v>
      </c>
      <c r="L5" s="518" t="s">
        <v>403</v>
      </c>
      <c r="M5" s="904">
        <v>985144.60074279015</v>
      </c>
      <c r="N5" s="943">
        <f t="shared" ref="N5:N27" si="66">M5/$M$28</f>
        <v>4.4977664007830024E-4</v>
      </c>
      <c r="O5" s="455">
        <v>109.75779727095517</v>
      </c>
      <c r="P5" s="948">
        <f t="shared" ref="P5:P27" si="67">IFERROR(M5/O5,0)</f>
        <v>8975.6229191699131</v>
      </c>
      <c r="Q5" s="659">
        <f t="shared" ref="Q5:Q27" si="68">P5/$P$28</f>
        <v>5.1312575373808301E-3</v>
      </c>
      <c r="R5" s="322" t="s">
        <v>397</v>
      </c>
      <c r="T5" s="225"/>
      <c r="V5" s="734">
        <f>+V4+1</f>
        <v>2</v>
      </c>
      <c r="W5" s="735">
        <f t="shared" si="0"/>
        <v>2</v>
      </c>
      <c r="X5" s="518" t="s">
        <v>403</v>
      </c>
      <c r="Y5" s="924">
        <f t="shared" ref="Y5:Y27" si="69">SUM(FU5:FY5)</f>
        <v>305975.49782237137</v>
      </c>
      <c r="Z5" s="943">
        <f t="shared" ref="Z5:Z27" si="70">SUM(FU5:FY5)/SUM($FU$28:$FY$28)</f>
        <v>3.6682808856903838E-3</v>
      </c>
      <c r="AB5" s="225"/>
      <c r="AD5" s="734">
        <v>2</v>
      </c>
      <c r="AE5" s="146">
        <v>2</v>
      </c>
      <c r="AF5" s="347" t="s">
        <v>403</v>
      </c>
      <c r="AG5" s="369">
        <v>28.35</v>
      </c>
      <c r="AI5" s="225"/>
      <c r="AK5" s="734">
        <v>2</v>
      </c>
      <c r="AL5" s="777" t="s">
        <v>399</v>
      </c>
      <c r="AM5" s="778">
        <v>1968927.1041759744</v>
      </c>
      <c r="AN5" s="52"/>
      <c r="AO5" s="225"/>
      <c r="AP5" s="52"/>
      <c r="AQ5" s="734">
        <f t="shared" ref="AQ5:AQ27" si="71">+AQ4+1</f>
        <v>2</v>
      </c>
      <c r="AR5" s="787">
        <f t="shared" si="1"/>
        <v>2</v>
      </c>
      <c r="AS5" s="518" t="s">
        <v>403</v>
      </c>
      <c r="AT5" s="518">
        <f t="shared" si="2"/>
        <v>28.35</v>
      </c>
      <c r="AU5" s="788">
        <f t="shared" ref="AU5:AU27" si="72">$M5</f>
        <v>985144.60074279015</v>
      </c>
      <c r="AV5" s="788">
        <f>AU5*AT5/3600</f>
        <v>7758.0137308494723</v>
      </c>
      <c r="AW5" s="789">
        <f t="shared" si="3"/>
        <v>8090.8143432941515</v>
      </c>
      <c r="AX5" s="790">
        <f t="shared" si="4"/>
        <v>18.222331461311715</v>
      </c>
      <c r="AY5" s="358">
        <f>AW5*AX5</f>
        <v>147433.50075544108</v>
      </c>
      <c r="AZ5" s="35">
        <f t="shared" ref="AZ5:AZ28" si="73">AY5/$AY$28</f>
        <v>4.1092503252832613E-3</v>
      </c>
      <c r="BA5" s="55">
        <f t="shared" si="5"/>
        <v>14.965671</v>
      </c>
      <c r="BC5" s="225"/>
      <c r="BE5" s="338">
        <v>2</v>
      </c>
      <c r="BF5" s="565" t="s">
        <v>333</v>
      </c>
      <c r="BG5" s="697">
        <v>0.5</v>
      </c>
      <c r="BH5" s="804">
        <f>BG5*$BH$6</f>
        <v>7855598.930964387</v>
      </c>
      <c r="BJ5" s="225"/>
      <c r="BL5" s="338">
        <f>+BL4+1</f>
        <v>2</v>
      </c>
      <c r="BM5" s="322">
        <f t="shared" si="6"/>
        <v>2</v>
      </c>
      <c r="BN5" s="518" t="s">
        <v>403</v>
      </c>
      <c r="BO5" s="659">
        <f t="shared" si="7"/>
        <v>4.1092503252832613E-3</v>
      </c>
      <c r="BP5" s="358">
        <f t="shared" ref="BP5:BP27" si="74">BO5*$BP$28</f>
        <v>32280.622462360247</v>
      </c>
      <c r="BQ5" s="659">
        <f t="shared" si="8"/>
        <v>4.4977664007830024E-4</v>
      </c>
      <c r="BR5" s="358">
        <f t="shared" ref="BR5:BR27" si="75">BQ5*$BR$28</f>
        <v>3533.2648929718493</v>
      </c>
      <c r="BS5" s="809">
        <f t="shared" si="9"/>
        <v>35813.887355332095</v>
      </c>
      <c r="BT5" s="810">
        <f t="shared" si="10"/>
        <v>3.6353939999999998</v>
      </c>
      <c r="BV5" s="225"/>
      <c r="BX5" s="338">
        <f>+BX4+1</f>
        <v>2</v>
      </c>
      <c r="BY5" s="518" t="s">
        <v>400</v>
      </c>
      <c r="BZ5" s="822">
        <v>0.15827477051315791</v>
      </c>
      <c r="CA5" s="823">
        <f>BZ5*$CA$9</f>
        <v>3601600.6575882137</v>
      </c>
      <c r="CB5" s="824">
        <v>1</v>
      </c>
      <c r="CC5" s="824"/>
      <c r="CD5" s="823">
        <f>CB5*$CA5</f>
        <v>3601600.6575882137</v>
      </c>
      <c r="CE5" s="823">
        <f t="shared" si="11"/>
        <v>0</v>
      </c>
      <c r="CG5" s="225"/>
      <c r="CI5" s="734">
        <f>+CI4+1</f>
        <v>2</v>
      </c>
      <c r="CJ5" s="146">
        <f t="shared" si="12"/>
        <v>2</v>
      </c>
      <c r="CK5" s="518" t="s">
        <v>403</v>
      </c>
      <c r="CL5" s="344">
        <f t="shared" si="13"/>
        <v>4.4977664007830024E-4</v>
      </c>
      <c r="CM5" s="20">
        <f t="shared" si="14"/>
        <v>2408.212133434949</v>
      </c>
      <c r="CN5" s="344">
        <f t="shared" si="15"/>
        <v>5.1312575373808301E-3</v>
      </c>
      <c r="CO5" s="20">
        <f t="shared" si="16"/>
        <v>89289.668875577219</v>
      </c>
      <c r="CP5" s="20">
        <f t="shared" si="17"/>
        <v>91697.88100901217</v>
      </c>
      <c r="CQ5" s="344">
        <f t="shared" si="18"/>
        <v>4.0297252397113615E-3</v>
      </c>
      <c r="CR5" s="342">
        <f t="shared" si="19"/>
        <v>9.3080630000000006</v>
      </c>
      <c r="CT5" s="225"/>
      <c r="CV5" s="338">
        <v>2</v>
      </c>
      <c r="CW5" s="104" t="s">
        <v>50</v>
      </c>
      <c r="CX5" s="344">
        <v>1</v>
      </c>
      <c r="CY5" s="344">
        <v>0</v>
      </c>
      <c r="CZ5" s="833">
        <v>0</v>
      </c>
      <c r="DA5" s="906">
        <f>DD5</f>
        <v>313956.26463611663</v>
      </c>
      <c r="DB5" s="906">
        <v>0</v>
      </c>
      <c r="DC5" s="906">
        <v>0</v>
      </c>
      <c r="DD5" s="906">
        <f t="shared" ref="DD5:DD6" si="76">$DD$7*DD12</f>
        <v>313956.26463611663</v>
      </c>
      <c r="DF5" s="225"/>
      <c r="DH5" s="734">
        <v>2</v>
      </c>
      <c r="DI5" s="745">
        <f t="shared" si="20"/>
        <v>2</v>
      </c>
      <c r="DJ5" s="518" t="s">
        <v>403</v>
      </c>
      <c r="DK5" s="344">
        <f t="shared" si="21"/>
        <v>4.0297252397113615E-3</v>
      </c>
      <c r="DL5" s="20">
        <f t="shared" ref="DL5:DL27" si="77">DK5*$DL$28</f>
        <v>1265.1574837696587</v>
      </c>
      <c r="DM5" s="344">
        <f t="shared" si="22"/>
        <v>5.1312575373808301E-3</v>
      </c>
      <c r="DN5" s="20">
        <f t="shared" si="23"/>
        <v>9970.0364336988423</v>
      </c>
      <c r="DO5" s="344">
        <f t="shared" si="24"/>
        <v>4.4977664007830024E-4</v>
      </c>
      <c r="DP5" s="20">
        <f t="shared" si="25"/>
        <v>1455.0288519326295</v>
      </c>
      <c r="DQ5" s="20">
        <f t="shared" ref="DQ5:DQ27" si="78">DL5+DN5+DP5</f>
        <v>12690.222769401131</v>
      </c>
      <c r="DR5" s="344">
        <f t="shared" si="26"/>
        <v>2.3106910339200761E-3</v>
      </c>
      <c r="DS5" s="342">
        <f t="shared" si="27"/>
        <v>1.2881579999999999</v>
      </c>
      <c r="DU5" s="225"/>
      <c r="DW5" s="734">
        <f>+DW4+1</f>
        <v>2</v>
      </c>
      <c r="DX5" s="745">
        <f t="shared" si="28"/>
        <v>2</v>
      </c>
      <c r="DY5" s="518" t="s">
        <v>403</v>
      </c>
      <c r="DZ5" s="344">
        <f t="shared" si="29"/>
        <v>5.1312575373808301E-3</v>
      </c>
      <c r="EA5" s="20">
        <f t="shared" si="30"/>
        <v>18340.005933184893</v>
      </c>
      <c r="EB5" s="342">
        <f t="shared" si="31"/>
        <v>1.861656</v>
      </c>
      <c r="ED5" s="225"/>
      <c r="EF5" s="338">
        <v>2</v>
      </c>
      <c r="EG5" s="518" t="s">
        <v>50</v>
      </c>
      <c r="EH5" s="20">
        <v>871415.31349090894</v>
      </c>
      <c r="EI5" s="768">
        <f>EH5/$EH$7</f>
        <v>9.0122229034200738E-2</v>
      </c>
      <c r="EJ5" s="20">
        <f>EI5*$EJ$7</f>
        <v>959024.21125461778</v>
      </c>
      <c r="EL5" s="225"/>
      <c r="EN5" s="734">
        <f>+EN4+1</f>
        <v>2</v>
      </c>
      <c r="EO5" s="745">
        <f t="shared" si="32"/>
        <v>2</v>
      </c>
      <c r="EP5" s="518" t="s">
        <v>403</v>
      </c>
      <c r="EQ5" s="344">
        <f t="shared" si="33"/>
        <v>3.6682808856903838E-3</v>
      </c>
      <c r="ER5" s="20">
        <f t="shared" si="34"/>
        <v>26092.358539087156</v>
      </c>
      <c r="ES5" s="344">
        <f t="shared" si="35"/>
        <v>4.0297252397113615E-3</v>
      </c>
      <c r="ET5" s="20">
        <f t="shared" si="36"/>
        <v>3864.6040695870142</v>
      </c>
      <c r="EU5" s="344">
        <f t="shared" si="37"/>
        <v>4.4977664007830024E-4</v>
      </c>
      <c r="EV5" s="20">
        <f t="shared" si="38"/>
        <v>1155.6479788140914</v>
      </c>
      <c r="EW5" s="20">
        <f t="shared" si="39"/>
        <v>31112.610587488263</v>
      </c>
      <c r="EX5" s="344">
        <f t="shared" si="40"/>
        <v>2.9237403856043841E-3</v>
      </c>
      <c r="EY5" s="342">
        <f t="shared" si="41"/>
        <v>3.1581769999999998</v>
      </c>
      <c r="FA5" s="225"/>
      <c r="FC5" s="456">
        <v>2</v>
      </c>
      <c r="FD5" s="851" t="s">
        <v>401</v>
      </c>
      <c r="FE5" s="458">
        <f>D12</f>
        <v>-204693.58767693696</v>
      </c>
      <c r="FG5" s="225"/>
      <c r="FI5" s="734">
        <f>+FI4+1</f>
        <v>2</v>
      </c>
      <c r="FJ5" s="735">
        <f t="shared" si="42"/>
        <v>2</v>
      </c>
      <c r="FK5" s="518" t="s">
        <v>403</v>
      </c>
      <c r="FL5" s="344">
        <f t="shared" si="43"/>
        <v>3.6682808856903838E-3</v>
      </c>
      <c r="FM5" s="20">
        <f t="shared" si="44"/>
        <v>68940.308405584394</v>
      </c>
      <c r="FN5" s="342">
        <f t="shared" si="45"/>
        <v>6.9979889999999996</v>
      </c>
      <c r="FP5" s="225"/>
      <c r="FR5" s="734">
        <f>+FR4+1</f>
        <v>2</v>
      </c>
      <c r="FS5" s="735">
        <v>2</v>
      </c>
      <c r="FT5" s="518" t="s">
        <v>403</v>
      </c>
      <c r="FU5" s="20">
        <f t="shared" si="46"/>
        <v>147433.50075544108</v>
      </c>
      <c r="FV5" s="20">
        <f t="shared" si="47"/>
        <v>35813.887355332095</v>
      </c>
      <c r="FW5" s="20">
        <f t="shared" si="48"/>
        <v>91697.88100901217</v>
      </c>
      <c r="FX5" s="20">
        <f t="shared" si="49"/>
        <v>12690.222769401131</v>
      </c>
      <c r="FY5" s="20">
        <f t="shared" si="50"/>
        <v>18340.005933184893</v>
      </c>
      <c r="FZ5" s="20">
        <f t="shared" si="51"/>
        <v>31112.610587488263</v>
      </c>
      <c r="GA5" s="20">
        <f t="shared" si="52"/>
        <v>68940.308405584394</v>
      </c>
      <c r="GB5" s="20">
        <f t="shared" si="53"/>
        <v>406028.41681544401</v>
      </c>
      <c r="GC5" s="414">
        <f t="shared" si="54"/>
        <v>41.215108999999998</v>
      </c>
      <c r="GE5" s="225"/>
      <c r="GG5" s="734">
        <f t="shared" ref="GG5:GG27" si="79">+GG4+1</f>
        <v>2</v>
      </c>
      <c r="GH5" s="735">
        <f t="shared" si="55"/>
        <v>2</v>
      </c>
      <c r="GI5" s="518" t="s">
        <v>403</v>
      </c>
      <c r="GJ5" s="342">
        <f t="shared" si="56"/>
        <v>14.965671</v>
      </c>
      <c r="GK5" s="342">
        <f t="shared" si="57"/>
        <v>3.6353939999999998</v>
      </c>
      <c r="GL5" s="342">
        <f t="shared" si="58"/>
        <v>9.3080630000000006</v>
      </c>
      <c r="GM5" s="342">
        <f t="shared" si="59"/>
        <v>1.2881579999999999</v>
      </c>
      <c r="GN5" s="342">
        <f t="shared" si="60"/>
        <v>1.861656</v>
      </c>
      <c r="GO5" s="342">
        <f t="shared" si="61"/>
        <v>3.1581769999999998</v>
      </c>
      <c r="GP5" s="342">
        <f t="shared" si="62"/>
        <v>6.9979889999999996</v>
      </c>
      <c r="GQ5" s="342">
        <f t="shared" si="63"/>
        <v>41.215108999999998</v>
      </c>
      <c r="GR5" s="788">
        <f t="shared" ref="GR5:GR27" si="80">$M5</f>
        <v>985144.60074279015</v>
      </c>
      <c r="GS5" s="716"/>
      <c r="GT5" s="225"/>
      <c r="GV5" s="718">
        <f t="shared" ref="GV5:GV27" si="81">+GV4+1</f>
        <v>2</v>
      </c>
      <c r="GW5" s="735">
        <v>2</v>
      </c>
      <c r="GX5" s="518" t="s">
        <v>403</v>
      </c>
      <c r="GY5" s="322" t="s">
        <v>397</v>
      </c>
      <c r="GZ5" s="924">
        <f t="shared" ref="GZ5:GZ27" si="82">GB5</f>
        <v>406028.41681544401</v>
      </c>
      <c r="HA5" s="788">
        <f t="shared" ref="HA5:HA27" si="83">$M5</f>
        <v>985144.60074279015</v>
      </c>
      <c r="HB5" s="922">
        <f t="shared" ref="HB5:HB7" si="84">ROUND(IF(HA5&lt;&gt;0,GZ5/HA5*100,0),6)</f>
        <v>41.215108999999998</v>
      </c>
      <c r="HC5" s="942">
        <f t="shared" ref="HC5:HC27" si="85">ROUND(HB5,10)*HA5/100</f>
        <v>406028.42100375576</v>
      </c>
      <c r="HD5" s="858">
        <v>-2.1704175742343068E-3</v>
      </c>
      <c r="HE5" s="54"/>
      <c r="HF5" s="225"/>
      <c r="HH5" s="456">
        <v>2</v>
      </c>
      <c r="HI5" s="565" t="s">
        <v>402</v>
      </c>
      <c r="HJ5" s="862">
        <v>2070180.8900786787</v>
      </c>
      <c r="HK5" s="926">
        <f>HJ5/$HJ$6</f>
        <v>1.8417568795969938E-2</v>
      </c>
      <c r="HL5" s="927">
        <f>SUMIF($GY$4:$GY$27,$HI5,HC$4:HC$27)</f>
        <v>2169366.30070419</v>
      </c>
      <c r="HM5" s="859">
        <v>0.13414628756436286</v>
      </c>
      <c r="HN5" s="54"/>
      <c r="HO5" s="225"/>
      <c r="HQ5" s="734">
        <v>2</v>
      </c>
      <c r="HR5" s="869">
        <v>2</v>
      </c>
      <c r="HS5" s="518" t="s">
        <v>403</v>
      </c>
      <c r="HT5" s="788">
        <f t="shared" ref="HT5:HT27" si="86">$M5</f>
        <v>985144.60074279015</v>
      </c>
      <c r="HU5" s="917">
        <f t="shared" ref="HU5:HU27" si="87">HB5</f>
        <v>41.215108999999998</v>
      </c>
      <c r="HV5" s="870"/>
      <c r="HW5" s="768"/>
      <c r="HX5" s="870">
        <v>-8.3115710000000007</v>
      </c>
      <c r="HY5" s="769">
        <v>25</v>
      </c>
      <c r="IA5" s="225"/>
      <c r="IN5" s="225"/>
      <c r="IP5" s="734">
        <v>2</v>
      </c>
      <c r="IQ5" s="869">
        <v>2</v>
      </c>
      <c r="IR5" s="518" t="s">
        <v>403</v>
      </c>
      <c r="IS5" s="913">
        <f>HC5</f>
        <v>406028.42100375576</v>
      </c>
      <c r="IT5" s="915">
        <f t="shared" ref="IT5:IT27" si="88">$M5</f>
        <v>985144.60074279015</v>
      </c>
      <c r="IU5" s="919">
        <f t="shared" ref="IU5:IU28" si="89">HB5</f>
        <v>41.215108999999998</v>
      </c>
      <c r="IV5" s="904">
        <f t="shared" ref="IV5:IV7" si="90">IT5*$IK$4/(1-$IL$4)</f>
        <v>144911.29625248691</v>
      </c>
      <c r="IW5" s="904">
        <f t="shared" ref="IW5:IW27" si="91">IT5-IV5</f>
        <v>840233.30449030327</v>
      </c>
      <c r="IX5" s="913">
        <f t="shared" ref="IX5:IX7" si="92">IV5*$II$4</f>
        <v>2173.6694437873034</v>
      </c>
      <c r="IY5" s="882">
        <f t="shared" ref="IY5:IY27" si="93">IS5-IX5</f>
        <v>403854.75155996846</v>
      </c>
      <c r="IZ5" s="928">
        <f t="shared" ref="IZ5:IZ7" si="94">100*IY5/IT5</f>
        <v>40.994464290365656</v>
      </c>
      <c r="JA5" s="928">
        <f t="shared" ref="JA5:JA7" si="95">IZ5+1.5</f>
        <v>42.494464290365656</v>
      </c>
      <c r="JB5" s="913">
        <f>(IV5*JA5+IW5*IZ5)/100</f>
        <v>406028.42100375571</v>
      </c>
      <c r="JC5" s="883">
        <v>0.22223287213186182</v>
      </c>
      <c r="JE5" s="225"/>
      <c r="JG5" s="734">
        <v>2</v>
      </c>
      <c r="JH5" s="869">
        <v>2</v>
      </c>
      <c r="JI5" s="518" t="s">
        <v>403</v>
      </c>
      <c r="JJ5" s="788">
        <f t="shared" ref="JJ5:JJ27" si="96">$M5</f>
        <v>985144.60074279015</v>
      </c>
      <c r="JK5" s="917">
        <f t="shared" ref="JK5:JK28" si="97">IZ5</f>
        <v>40.994464290365656</v>
      </c>
      <c r="JL5" s="870">
        <v>49.463999999999999</v>
      </c>
      <c r="JM5" s="768"/>
      <c r="JN5" s="870"/>
      <c r="JO5" s="769">
        <v>25</v>
      </c>
      <c r="JR5" s="225"/>
      <c r="JT5" s="936">
        <v>8.3490219265402583</v>
      </c>
      <c r="JU5" s="936">
        <f t="shared" si="64"/>
        <v>3.7941363825403585E-2</v>
      </c>
      <c r="JV5" s="13">
        <v>2563713</v>
      </c>
      <c r="JW5" s="13">
        <f t="shared" si="65"/>
        <v>-139479.08254590305</v>
      </c>
      <c r="JX5" s="935" t="s">
        <v>458</v>
      </c>
      <c r="JY5" s="951">
        <f>SUM(JY3:JY4)</f>
        <v>1328795.5853670279</v>
      </c>
    </row>
    <row r="6" spans="1:294" ht="17.25" thickBot="1" x14ac:dyDescent="0.35">
      <c r="B6" s="756">
        <v>3</v>
      </c>
      <c r="C6" s="764" t="s">
        <v>49</v>
      </c>
      <c r="D6" s="906">
        <f>'DCA 3 month Phase I'!LN27</f>
        <v>15711197.861928774</v>
      </c>
      <c r="E6" s="765">
        <v>0.13977622384398092</v>
      </c>
      <c r="F6" s="766">
        <v>0.72307985975183253</v>
      </c>
      <c r="J6" s="756">
        <v>3</v>
      </c>
      <c r="K6" s="757">
        <v>3</v>
      </c>
      <c r="L6" s="732" t="s">
        <v>407</v>
      </c>
      <c r="M6" s="904">
        <v>2424233.917454097</v>
      </c>
      <c r="N6" s="944">
        <f t="shared" si="66"/>
        <v>1.1068058286410286E-3</v>
      </c>
      <c r="O6" s="753">
        <v>812.53603294440632</v>
      </c>
      <c r="P6" s="948">
        <f t="shared" si="67"/>
        <v>2983.5401990350415</v>
      </c>
      <c r="Q6" s="733">
        <f t="shared" si="68"/>
        <v>1.705654668455379E-3</v>
      </c>
      <c r="R6" s="758" t="s">
        <v>397</v>
      </c>
      <c r="V6" s="730">
        <f t="shared" ref="V6:V27" si="98">+V5+1</f>
        <v>3</v>
      </c>
      <c r="W6" s="731">
        <f t="shared" si="0"/>
        <v>3</v>
      </c>
      <c r="X6" s="732" t="s">
        <v>407</v>
      </c>
      <c r="Y6" s="924">
        <f t="shared" si="69"/>
        <v>155902.49433764073</v>
      </c>
      <c r="Z6" s="944">
        <f t="shared" si="70"/>
        <v>1.8690847603170622E-3</v>
      </c>
      <c r="AD6" s="730">
        <v>3</v>
      </c>
      <c r="AE6" s="746">
        <v>3</v>
      </c>
      <c r="AF6" s="747" t="s">
        <v>407</v>
      </c>
      <c r="AG6" s="748">
        <v>6.29</v>
      </c>
      <c r="AK6" s="730">
        <v>3</v>
      </c>
      <c r="AL6" s="779" t="s">
        <v>404</v>
      </c>
      <c r="AM6" s="780">
        <f>AM4/AM5</f>
        <v>18.222331461311715</v>
      </c>
      <c r="AN6" s="57"/>
      <c r="AP6" s="57"/>
      <c r="AQ6" s="730">
        <f t="shared" si="71"/>
        <v>3</v>
      </c>
      <c r="AR6" s="783">
        <f t="shared" si="1"/>
        <v>3</v>
      </c>
      <c r="AS6" s="732" t="s">
        <v>407</v>
      </c>
      <c r="AT6" s="732">
        <f t="shared" si="2"/>
        <v>6.29</v>
      </c>
      <c r="AU6" s="784">
        <f t="shared" si="72"/>
        <v>2424233.917454097</v>
      </c>
      <c r="AV6" s="784">
        <f t="shared" ref="AV6:AV27" si="99">AU6*AT6/3600</f>
        <v>4235.6753724406308</v>
      </c>
      <c r="AW6" s="785">
        <f t="shared" si="3"/>
        <v>4417.3759219588301</v>
      </c>
      <c r="AX6" s="786">
        <f t="shared" si="4"/>
        <v>18.222331461311715</v>
      </c>
      <c r="AY6" s="379">
        <f>AW6*AX6</f>
        <v>80494.888239151231</v>
      </c>
      <c r="AZ6" s="51">
        <f t="shared" si="73"/>
        <v>2.2435446759759901E-3</v>
      </c>
      <c r="BA6" s="53">
        <f t="shared" si="5"/>
        <v>3.3204259999999999</v>
      </c>
      <c r="BE6" s="805">
        <v>3</v>
      </c>
      <c r="BF6" s="806" t="s">
        <v>72</v>
      </c>
      <c r="BG6" s="742">
        <f>SUM(BG4:BG5)</f>
        <v>1</v>
      </c>
      <c r="BH6" s="741">
        <f>D6</f>
        <v>15711197.861928774</v>
      </c>
      <c r="BL6" s="756">
        <f t="shared" ref="BL6:BL27" si="100">+BL5+1</f>
        <v>3</v>
      </c>
      <c r="BM6" s="758">
        <f t="shared" si="6"/>
        <v>3</v>
      </c>
      <c r="BN6" s="732" t="s">
        <v>407</v>
      </c>
      <c r="BO6" s="733">
        <f t="shared" si="7"/>
        <v>2.2435446759759901E-3</v>
      </c>
      <c r="BP6" s="379">
        <f t="shared" si="74"/>
        <v>17624.387158167829</v>
      </c>
      <c r="BQ6" s="733">
        <f t="shared" si="8"/>
        <v>1.1068058286410286E-3</v>
      </c>
      <c r="BR6" s="379">
        <f t="shared" si="75"/>
        <v>8694.6226842576161</v>
      </c>
      <c r="BS6" s="807">
        <f t="shared" si="9"/>
        <v>26319.009842425447</v>
      </c>
      <c r="BT6" s="808">
        <f t="shared" si="10"/>
        <v>1.085663</v>
      </c>
      <c r="BX6" s="756">
        <f>+BX5+1</f>
        <v>3</v>
      </c>
      <c r="BY6" s="732" t="s">
        <v>405</v>
      </c>
      <c r="BZ6" s="765">
        <v>0.11835749256056489</v>
      </c>
      <c r="CA6" s="821">
        <f>BZ6*$CA$9</f>
        <v>2693268.3058364303</v>
      </c>
      <c r="CB6" s="766"/>
      <c r="CC6" s="766">
        <v>1</v>
      </c>
      <c r="CD6" s="821">
        <f t="shared" si="11"/>
        <v>0</v>
      </c>
      <c r="CE6" s="821">
        <f t="shared" si="11"/>
        <v>2693268.3058364303</v>
      </c>
      <c r="CI6" s="730">
        <f t="shared" ref="CI6:CI27" si="101">+CI5+1</f>
        <v>3</v>
      </c>
      <c r="CJ6" s="746">
        <f t="shared" si="12"/>
        <v>3</v>
      </c>
      <c r="CK6" s="732" t="s">
        <v>407</v>
      </c>
      <c r="CL6" s="733">
        <f t="shared" si="13"/>
        <v>1.1068058286410286E-3</v>
      </c>
      <c r="CM6" s="379">
        <f t="shared" si="14"/>
        <v>5926.1041779000188</v>
      </c>
      <c r="CN6" s="733">
        <f t="shared" si="15"/>
        <v>1.705654668455379E-3</v>
      </c>
      <c r="CO6" s="379">
        <f t="shared" si="16"/>
        <v>29680.315098782008</v>
      </c>
      <c r="CP6" s="379">
        <f t="shared" si="17"/>
        <v>35606.419276682027</v>
      </c>
      <c r="CQ6" s="733">
        <f t="shared" si="18"/>
        <v>1.5647481149634087E-3</v>
      </c>
      <c r="CR6" s="808">
        <f t="shared" si="19"/>
        <v>1.4687699999999999</v>
      </c>
      <c r="CV6" s="842">
        <v>3</v>
      </c>
      <c r="CW6" s="834" t="s">
        <v>395</v>
      </c>
      <c r="CX6" s="835">
        <v>0</v>
      </c>
      <c r="CY6" s="835">
        <v>0</v>
      </c>
      <c r="CZ6" s="836">
        <v>1</v>
      </c>
      <c r="DA6" s="910">
        <v>0</v>
      </c>
      <c r="DB6" s="910">
        <v>0</v>
      </c>
      <c r="DC6" s="910">
        <f>DD6</f>
        <v>1292002.567798706</v>
      </c>
      <c r="DD6" s="910">
        <f t="shared" si="76"/>
        <v>1292002.567798706</v>
      </c>
      <c r="DH6" s="730">
        <v>3</v>
      </c>
      <c r="DI6" s="840">
        <f t="shared" si="20"/>
        <v>3</v>
      </c>
      <c r="DJ6" s="732" t="s">
        <v>407</v>
      </c>
      <c r="DK6" s="733">
        <f t="shared" si="21"/>
        <v>1.5647481149634087E-3</v>
      </c>
      <c r="DL6" s="379">
        <f t="shared" si="77"/>
        <v>491.2624732703166</v>
      </c>
      <c r="DM6" s="733">
        <f t="shared" si="22"/>
        <v>1.705654668455379E-3</v>
      </c>
      <c r="DN6" s="379">
        <f t="shared" si="23"/>
        <v>3314.0880308433721</v>
      </c>
      <c r="DO6" s="733">
        <f t="shared" si="24"/>
        <v>1.1068058286410286E-3</v>
      </c>
      <c r="DP6" s="379">
        <f t="shared" si="25"/>
        <v>3580.5203531235929</v>
      </c>
      <c r="DQ6" s="379">
        <f t="shared" si="78"/>
        <v>7385.8708572372816</v>
      </c>
      <c r="DR6" s="733">
        <f t="shared" si="26"/>
        <v>1.3448515347311877E-3</v>
      </c>
      <c r="DS6" s="808">
        <f t="shared" si="27"/>
        <v>0.30466799999999999</v>
      </c>
      <c r="DW6" s="730">
        <f t="shared" ref="DW6:DW27" si="102">+DW5+1</f>
        <v>3</v>
      </c>
      <c r="DX6" s="840">
        <f t="shared" si="28"/>
        <v>3</v>
      </c>
      <c r="DY6" s="732" t="s">
        <v>407</v>
      </c>
      <c r="DZ6" s="733">
        <f t="shared" si="29"/>
        <v>1.705654668455379E-3</v>
      </c>
      <c r="EA6" s="379">
        <f t="shared" si="30"/>
        <v>6096.3061221447524</v>
      </c>
      <c r="EB6" s="808">
        <f t="shared" si="31"/>
        <v>0.25147399999999998</v>
      </c>
      <c r="EF6" s="842">
        <v>3</v>
      </c>
      <c r="EG6" s="825" t="s">
        <v>173</v>
      </c>
      <c r="EH6" s="837">
        <v>2334663.450411818</v>
      </c>
      <c r="EI6" s="826">
        <f>EH6/$EH$7</f>
        <v>0.24145211925746848</v>
      </c>
      <c r="EJ6" s="837">
        <f>EI6*$EJ$7</f>
        <v>2569381.9461431084</v>
      </c>
      <c r="EN6" s="730">
        <f t="shared" ref="EN6:EN27" si="103">+EN5+1</f>
        <v>3</v>
      </c>
      <c r="EO6" s="840">
        <f t="shared" si="32"/>
        <v>3</v>
      </c>
      <c r="EP6" s="732" t="s">
        <v>407</v>
      </c>
      <c r="EQ6" s="733">
        <f t="shared" si="33"/>
        <v>1.8690847603170622E-3</v>
      </c>
      <c r="ER6" s="379">
        <f t="shared" si="34"/>
        <v>13294.737024195489</v>
      </c>
      <c r="ES6" s="733">
        <f t="shared" si="35"/>
        <v>1.5647481149634087E-3</v>
      </c>
      <c r="ET6" s="379">
        <f t="shared" si="36"/>
        <v>1500.631326764933</v>
      </c>
      <c r="EU6" s="733">
        <f t="shared" si="37"/>
        <v>1.1068058286410286E-3</v>
      </c>
      <c r="EV6" s="379">
        <f t="shared" si="38"/>
        <v>2843.8069139962217</v>
      </c>
      <c r="EW6" s="379">
        <f t="shared" si="39"/>
        <v>17639.175264956644</v>
      </c>
      <c r="EX6" s="733">
        <f t="shared" si="40"/>
        <v>1.6576033999425028E-3</v>
      </c>
      <c r="EY6" s="808">
        <f t="shared" si="41"/>
        <v>0.72761900000000002</v>
      </c>
      <c r="FC6" s="813">
        <v>3</v>
      </c>
      <c r="FD6" s="59" t="s">
        <v>406</v>
      </c>
      <c r="FE6" s="60">
        <f>SUM(FE4:FE5)</f>
        <v>18793628.556230251</v>
      </c>
      <c r="FI6" s="730">
        <f t="shared" ref="FI6:FI27" si="104">+FI5+1</f>
        <v>3</v>
      </c>
      <c r="FJ6" s="731">
        <f t="shared" si="42"/>
        <v>3</v>
      </c>
      <c r="FK6" s="732" t="s">
        <v>407</v>
      </c>
      <c r="FL6" s="733">
        <f t="shared" si="43"/>
        <v>1.8690847603170622E-3</v>
      </c>
      <c r="FM6" s="379">
        <f t="shared" si="44"/>
        <v>35126.88472550951</v>
      </c>
      <c r="FN6" s="808">
        <f t="shared" si="45"/>
        <v>1.4489890000000001</v>
      </c>
      <c r="FR6" s="730">
        <f t="shared" ref="FR6:FR27" si="105">+FR5+1</f>
        <v>3</v>
      </c>
      <c r="FS6" s="731">
        <v>3</v>
      </c>
      <c r="FT6" s="732" t="s">
        <v>407</v>
      </c>
      <c r="FU6" s="379">
        <f t="shared" si="46"/>
        <v>80494.888239151231</v>
      </c>
      <c r="FV6" s="379">
        <f t="shared" si="47"/>
        <v>26319.009842425447</v>
      </c>
      <c r="FW6" s="379">
        <f t="shared" si="48"/>
        <v>35606.419276682027</v>
      </c>
      <c r="FX6" s="379">
        <f t="shared" si="49"/>
        <v>7385.8708572372816</v>
      </c>
      <c r="FY6" s="379">
        <f t="shared" si="50"/>
        <v>6096.3061221447524</v>
      </c>
      <c r="FZ6" s="379">
        <f t="shared" si="51"/>
        <v>17639.175264956644</v>
      </c>
      <c r="GA6" s="379">
        <f t="shared" si="52"/>
        <v>35126.88472550951</v>
      </c>
      <c r="GB6" s="379">
        <f t="shared" si="53"/>
        <v>208668.55432810687</v>
      </c>
      <c r="GC6" s="852">
        <f t="shared" si="54"/>
        <v>8.6076080000000008</v>
      </c>
      <c r="GG6" s="730">
        <f t="shared" si="79"/>
        <v>3</v>
      </c>
      <c r="GH6" s="731">
        <f t="shared" si="55"/>
        <v>3</v>
      </c>
      <c r="GI6" s="732" t="s">
        <v>407</v>
      </c>
      <c r="GJ6" s="808">
        <f t="shared" si="56"/>
        <v>3.3204259999999999</v>
      </c>
      <c r="GK6" s="808">
        <f t="shared" si="57"/>
        <v>1.085663</v>
      </c>
      <c r="GL6" s="808">
        <f t="shared" si="58"/>
        <v>1.4687699999999999</v>
      </c>
      <c r="GM6" s="808">
        <f t="shared" si="59"/>
        <v>0.30466799999999999</v>
      </c>
      <c r="GN6" s="808">
        <f t="shared" si="60"/>
        <v>0.25147399999999998</v>
      </c>
      <c r="GO6" s="808">
        <f t="shared" si="61"/>
        <v>0.72761900000000002</v>
      </c>
      <c r="GP6" s="808">
        <f t="shared" si="62"/>
        <v>1.4489890000000001</v>
      </c>
      <c r="GQ6" s="808">
        <f t="shared" si="63"/>
        <v>8.6076080000000008</v>
      </c>
      <c r="GR6" s="784">
        <f t="shared" si="80"/>
        <v>2424233.917454097</v>
      </c>
      <c r="GS6" s="716"/>
      <c r="GV6" s="717">
        <f t="shared" si="81"/>
        <v>3</v>
      </c>
      <c r="GW6" s="731">
        <v>3</v>
      </c>
      <c r="GX6" s="732" t="s">
        <v>407</v>
      </c>
      <c r="GY6" s="758" t="s">
        <v>397</v>
      </c>
      <c r="GZ6" s="906">
        <f t="shared" si="82"/>
        <v>208668.55432810687</v>
      </c>
      <c r="HA6" s="784">
        <f t="shared" si="83"/>
        <v>2424233.917454097</v>
      </c>
      <c r="HB6" s="922">
        <f t="shared" si="84"/>
        <v>8.6076080000000008</v>
      </c>
      <c r="HC6" s="942">
        <f t="shared" si="85"/>
        <v>208668.55261749227</v>
      </c>
      <c r="HD6" s="857">
        <v>5.2642390364781022E-3</v>
      </c>
      <c r="HE6" s="61"/>
      <c r="HH6" s="813">
        <v>3</v>
      </c>
      <c r="HI6" s="762" t="s">
        <v>89</v>
      </c>
      <c r="HJ6" s="863">
        <v>112402506.16203305</v>
      </c>
      <c r="HK6" s="864">
        <v>1</v>
      </c>
      <c r="HL6" s="863">
        <f>SUM(HL4:HL5)</f>
        <v>112846140.76654981</v>
      </c>
      <c r="HM6" s="865">
        <v>-2.9150733718854553</v>
      </c>
      <c r="HN6" s="61"/>
      <c r="HQ6" s="730">
        <v>3</v>
      </c>
      <c r="HR6" s="867">
        <v>3</v>
      </c>
      <c r="HS6" s="732" t="s">
        <v>407</v>
      </c>
      <c r="HT6" s="784">
        <f t="shared" si="86"/>
        <v>2424233.917454097</v>
      </c>
      <c r="HU6" s="917">
        <f t="shared" si="87"/>
        <v>8.6076080000000008</v>
      </c>
      <c r="HV6" s="868"/>
      <c r="HW6" s="765"/>
      <c r="HX6" s="868">
        <v>-2.0161709999999999</v>
      </c>
      <c r="HY6" s="766">
        <v>10</v>
      </c>
      <c r="IP6" s="730">
        <v>3</v>
      </c>
      <c r="IQ6" s="867">
        <v>3</v>
      </c>
      <c r="IR6" s="732" t="s">
        <v>407</v>
      </c>
      <c r="IS6" s="913">
        <f t="shared" ref="IS6:IS27" si="106">HC6</f>
        <v>208668.55261749227</v>
      </c>
      <c r="IT6" s="915">
        <f t="shared" si="88"/>
        <v>2424233.917454097</v>
      </c>
      <c r="IU6" s="918">
        <f t="shared" si="89"/>
        <v>8.6076080000000008</v>
      </c>
      <c r="IV6" s="904">
        <f>IT6*$IK$4/(1-$IL$4)</f>
        <v>356596.25920158456</v>
      </c>
      <c r="IW6" s="904">
        <f>IT6-IV6</f>
        <v>2067637.6582525123</v>
      </c>
      <c r="IX6" s="913">
        <f t="shared" si="92"/>
        <v>5348.9438880237685</v>
      </c>
      <c r="IY6" s="881">
        <f t="shared" si="93"/>
        <v>203319.60872946851</v>
      </c>
      <c r="IZ6" s="928">
        <f t="shared" si="94"/>
        <v>8.3869632903656619</v>
      </c>
      <c r="JA6" s="928">
        <f t="shared" si="95"/>
        <v>9.8869632903656619</v>
      </c>
      <c r="JB6" s="913">
        <f t="shared" ref="JB6:JB27" si="107">(IV6*JA6+IW6*IZ6)/100</f>
        <v>208668.55261749227</v>
      </c>
      <c r="JC6" s="852">
        <v>0.22223334610416501</v>
      </c>
      <c r="JG6" s="730">
        <v>3</v>
      </c>
      <c r="JH6" s="867">
        <v>3</v>
      </c>
      <c r="JI6" s="732" t="s">
        <v>407</v>
      </c>
      <c r="JJ6" s="784">
        <f t="shared" si="96"/>
        <v>2424233.917454097</v>
      </c>
      <c r="JK6" s="917">
        <f t="shared" si="97"/>
        <v>8.3869632903656619</v>
      </c>
      <c r="JL6" s="868">
        <v>10.432</v>
      </c>
      <c r="JM6" s="765"/>
      <c r="JN6" s="868"/>
      <c r="JO6" s="766">
        <v>10</v>
      </c>
      <c r="JT6" s="936">
        <v>18.573936926540256</v>
      </c>
      <c r="JU6" s="936">
        <f t="shared" si="64"/>
        <v>0.10420236382540082</v>
      </c>
      <c r="JV6" s="13">
        <v>369439</v>
      </c>
      <c r="JW6" s="13">
        <f t="shared" si="65"/>
        <v>-8369.5724450967391</v>
      </c>
    </row>
    <row r="7" spans="1:294" ht="17.25" thickBot="1" x14ac:dyDescent="0.35">
      <c r="B7" s="338">
        <v>4</v>
      </c>
      <c r="C7" s="770" t="s">
        <v>50</v>
      </c>
      <c r="D7" s="906">
        <f>'DCA 3 month Phase I'!LP27</f>
        <v>22755368.059679482</v>
      </c>
      <c r="E7" s="768">
        <v>0.20244537988215888</v>
      </c>
      <c r="F7" s="769">
        <v>1.047275229412356</v>
      </c>
      <c r="J7" s="338">
        <v>4</v>
      </c>
      <c r="K7" s="759">
        <v>4</v>
      </c>
      <c r="L7" s="518" t="s">
        <v>410</v>
      </c>
      <c r="M7" s="904">
        <v>361069.42755490326</v>
      </c>
      <c r="N7" s="943">
        <f t="shared" si="66"/>
        <v>1.6484949908692698E-4</v>
      </c>
      <c r="O7" s="455">
        <v>176.53560975609756</v>
      </c>
      <c r="P7" s="948">
        <f t="shared" si="67"/>
        <v>2045.3064854946745</v>
      </c>
      <c r="Q7" s="659">
        <f t="shared" si="68"/>
        <v>1.1692775436826224E-3</v>
      </c>
      <c r="R7" s="322" t="s">
        <v>397</v>
      </c>
      <c r="V7" s="734">
        <f t="shared" si="98"/>
        <v>4</v>
      </c>
      <c r="W7" s="735">
        <f t="shared" si="0"/>
        <v>4</v>
      </c>
      <c r="X7" s="518" t="s">
        <v>410</v>
      </c>
      <c r="Y7" s="924">
        <f t="shared" si="69"/>
        <v>51060.59163450505</v>
      </c>
      <c r="Z7" s="943">
        <f t="shared" si="70"/>
        <v>6.1215552760905559E-4</v>
      </c>
      <c r="AD7" s="734">
        <v>4</v>
      </c>
      <c r="AE7" s="146">
        <v>4</v>
      </c>
      <c r="AF7" s="347" t="s">
        <v>410</v>
      </c>
      <c r="AG7" s="369">
        <v>9.15</v>
      </c>
      <c r="AK7" s="749">
        <v>4</v>
      </c>
      <c r="AL7" s="781" t="s">
        <v>408</v>
      </c>
      <c r="AM7" s="909">
        <v>3.1019864894695965</v>
      </c>
      <c r="AQ7" s="734">
        <f t="shared" si="71"/>
        <v>4</v>
      </c>
      <c r="AR7" s="787">
        <f t="shared" si="1"/>
        <v>4</v>
      </c>
      <c r="AS7" s="518" t="s">
        <v>410</v>
      </c>
      <c r="AT7" s="518">
        <f t="shared" si="2"/>
        <v>9.15</v>
      </c>
      <c r="AU7" s="788">
        <f t="shared" si="72"/>
        <v>361069.42755490326</v>
      </c>
      <c r="AV7" s="788">
        <f t="shared" si="99"/>
        <v>917.71812836871254</v>
      </c>
      <c r="AW7" s="789">
        <f t="shared" si="3"/>
        <v>957.086085911532</v>
      </c>
      <c r="AX7" s="790">
        <f t="shared" si="4"/>
        <v>18.222331461311715</v>
      </c>
      <c r="AY7" s="358">
        <f t="shared" ref="AY7:AY27" si="108">AW7*AX7</f>
        <v>17440.339894489396</v>
      </c>
      <c r="AZ7" s="35">
        <f t="shared" si="73"/>
        <v>4.8609523627442117E-4</v>
      </c>
      <c r="BA7" s="55">
        <f t="shared" si="5"/>
        <v>4.83019</v>
      </c>
      <c r="BL7" s="338">
        <f t="shared" si="100"/>
        <v>4</v>
      </c>
      <c r="BM7" s="322">
        <f t="shared" si="6"/>
        <v>4</v>
      </c>
      <c r="BN7" s="518" t="s">
        <v>410</v>
      </c>
      <c r="BO7" s="659">
        <f t="shared" si="7"/>
        <v>4.8609523627442117E-4</v>
      </c>
      <c r="BP7" s="358">
        <f t="shared" si="74"/>
        <v>3818.5692184242239</v>
      </c>
      <c r="BQ7" s="659">
        <f t="shared" si="8"/>
        <v>1.6484949908692698E-4</v>
      </c>
      <c r="BR7" s="358">
        <f t="shared" si="75"/>
        <v>1294.9915487972783</v>
      </c>
      <c r="BS7" s="809">
        <f t="shared" si="9"/>
        <v>5113.5607672215019</v>
      </c>
      <c r="BT7" s="810">
        <f t="shared" si="10"/>
        <v>1.416226</v>
      </c>
      <c r="BX7" s="338">
        <f>+BX6+1</f>
        <v>4</v>
      </c>
      <c r="BY7" s="518" t="s">
        <v>409</v>
      </c>
      <c r="BZ7" s="822">
        <v>0.27072634510422583</v>
      </c>
      <c r="CA7" s="823">
        <f>BZ7*$CA$9</f>
        <v>6160477.6262984648</v>
      </c>
      <c r="CB7" s="824"/>
      <c r="CC7" s="824">
        <v>1</v>
      </c>
      <c r="CD7" s="823">
        <f t="shared" si="11"/>
        <v>0</v>
      </c>
      <c r="CE7" s="823">
        <f t="shared" si="11"/>
        <v>6160477.6262984648</v>
      </c>
      <c r="CI7" s="734">
        <f t="shared" si="101"/>
        <v>4</v>
      </c>
      <c r="CJ7" s="146">
        <f t="shared" si="12"/>
        <v>4</v>
      </c>
      <c r="CK7" s="518" t="s">
        <v>410</v>
      </c>
      <c r="CL7" s="344">
        <f t="shared" si="13"/>
        <v>1.6484949908692698E-4</v>
      </c>
      <c r="CM7" s="20">
        <f t="shared" si="14"/>
        <v>882.64380253874435</v>
      </c>
      <c r="CN7" s="344">
        <f t="shared" si="15"/>
        <v>1.1692775436826224E-3</v>
      </c>
      <c r="CO7" s="20">
        <f t="shared" si="16"/>
        <v>20346.748129184958</v>
      </c>
      <c r="CP7" s="20">
        <f t="shared" si="17"/>
        <v>21229.391931723701</v>
      </c>
      <c r="CQ7" s="344">
        <f t="shared" si="18"/>
        <v>9.3293994964380839E-4</v>
      </c>
      <c r="CR7" s="342">
        <f t="shared" si="19"/>
        <v>5.8795869999999999</v>
      </c>
      <c r="CV7" s="843">
        <v>4</v>
      </c>
      <c r="CW7" s="838" t="s">
        <v>72</v>
      </c>
      <c r="CX7" s="622"/>
      <c r="CY7" s="622"/>
      <c r="CZ7" s="839"/>
      <c r="DA7" s="424">
        <f>SUM(DA4:DA6)</f>
        <v>313956.26463611663</v>
      </c>
      <c r="DB7" s="424">
        <f>SUM(DB4:DB6)</f>
        <v>1943000.592168268</v>
      </c>
      <c r="DC7" s="424">
        <f>SUM(DC4:DC6)</f>
        <v>3235003.1599669741</v>
      </c>
      <c r="DD7" s="911">
        <f>D8</f>
        <v>5491960.0167713584</v>
      </c>
      <c r="DH7" s="734">
        <v>4</v>
      </c>
      <c r="DI7" s="745">
        <f t="shared" si="20"/>
        <v>4</v>
      </c>
      <c r="DJ7" s="518" t="s">
        <v>410</v>
      </c>
      <c r="DK7" s="344">
        <f t="shared" si="21"/>
        <v>9.3293994964380839E-4</v>
      </c>
      <c r="DL7" s="20">
        <f t="shared" si="77"/>
        <v>292.90234171997685</v>
      </c>
      <c r="DM7" s="344">
        <f t="shared" si="22"/>
        <v>1.1692775436826224E-3</v>
      </c>
      <c r="DN7" s="20">
        <f t="shared" si="23"/>
        <v>2271.9069597843932</v>
      </c>
      <c r="DO7" s="344">
        <f t="shared" si="24"/>
        <v>1.6484949908692698E-4</v>
      </c>
      <c r="DP7" s="20">
        <f t="shared" si="25"/>
        <v>533.2886504651816</v>
      </c>
      <c r="DQ7" s="20">
        <f t="shared" si="78"/>
        <v>3098.0979519695516</v>
      </c>
      <c r="DR7" s="344">
        <f t="shared" si="26"/>
        <v>5.6411516881196757E-4</v>
      </c>
      <c r="DS7" s="342">
        <f t="shared" si="27"/>
        <v>0.85803399999999996</v>
      </c>
      <c r="DW7" s="734">
        <f t="shared" si="102"/>
        <v>4</v>
      </c>
      <c r="DX7" s="745">
        <f t="shared" si="28"/>
        <v>4</v>
      </c>
      <c r="DY7" s="518" t="s">
        <v>410</v>
      </c>
      <c r="DZ7" s="344">
        <f t="shared" si="29"/>
        <v>1.1692775436826224E-3</v>
      </c>
      <c r="EA7" s="20">
        <f t="shared" si="30"/>
        <v>4179.2010891008968</v>
      </c>
      <c r="EB7" s="342">
        <f t="shared" si="31"/>
        <v>1.157451</v>
      </c>
      <c r="EF7" s="843">
        <v>4</v>
      </c>
      <c r="EG7" s="30" t="s">
        <v>72</v>
      </c>
      <c r="EH7" s="21">
        <f>SUM(EH4:EH6)</f>
        <v>9669260.545699697</v>
      </c>
      <c r="EI7" s="64">
        <f>EH7/$EH$7</f>
        <v>1</v>
      </c>
      <c r="EJ7" s="21">
        <f>D10</f>
        <v>10641372.517436014</v>
      </c>
      <c r="EN7" s="734">
        <f t="shared" si="103"/>
        <v>4</v>
      </c>
      <c r="EO7" s="745">
        <f t="shared" si="32"/>
        <v>4</v>
      </c>
      <c r="EP7" s="518" t="s">
        <v>410</v>
      </c>
      <c r="EQ7" s="344">
        <f t="shared" si="33"/>
        <v>6.1215552760905559E-4</v>
      </c>
      <c r="ER7" s="20">
        <f t="shared" si="34"/>
        <v>4354.2416749947015</v>
      </c>
      <c r="ES7" s="344">
        <f t="shared" si="35"/>
        <v>9.3293994964380839E-4</v>
      </c>
      <c r="ET7" s="20">
        <f t="shared" si="36"/>
        <v>894.71199935507616</v>
      </c>
      <c r="EU7" s="344">
        <f t="shared" si="37"/>
        <v>1.6484949908692698E-4</v>
      </c>
      <c r="EV7" s="20">
        <f t="shared" si="38"/>
        <v>423.56132678468504</v>
      </c>
      <c r="EW7" s="20">
        <f t="shared" si="39"/>
        <v>5672.5150011344622</v>
      </c>
      <c r="EX7" s="344">
        <f t="shared" si="40"/>
        <v>5.3306234621896566E-4</v>
      </c>
      <c r="EY7" s="342">
        <f t="shared" si="41"/>
        <v>1.571032</v>
      </c>
      <c r="FE7" s="25"/>
      <c r="FI7" s="734">
        <f t="shared" si="104"/>
        <v>4</v>
      </c>
      <c r="FJ7" s="735">
        <f t="shared" si="42"/>
        <v>4</v>
      </c>
      <c r="FK7" s="518" t="s">
        <v>410</v>
      </c>
      <c r="FL7" s="344">
        <f t="shared" si="43"/>
        <v>6.1215552760905559E-4</v>
      </c>
      <c r="FM7" s="20">
        <f t="shared" si="44"/>
        <v>11504.623604527742</v>
      </c>
      <c r="FN7" s="342">
        <f t="shared" si="45"/>
        <v>3.186264</v>
      </c>
      <c r="FR7" s="734">
        <f t="shared" si="105"/>
        <v>4</v>
      </c>
      <c r="FS7" s="735">
        <v>4</v>
      </c>
      <c r="FT7" s="518" t="s">
        <v>410</v>
      </c>
      <c r="FU7" s="20">
        <f t="shared" si="46"/>
        <v>17440.339894489396</v>
      </c>
      <c r="FV7" s="20">
        <f t="shared" si="47"/>
        <v>5113.5607672215019</v>
      </c>
      <c r="FW7" s="20">
        <f t="shared" si="48"/>
        <v>21229.391931723701</v>
      </c>
      <c r="FX7" s="20">
        <f t="shared" si="49"/>
        <v>3098.0979519695516</v>
      </c>
      <c r="FY7" s="20">
        <f t="shared" si="50"/>
        <v>4179.2010891008968</v>
      </c>
      <c r="FZ7" s="20">
        <f t="shared" si="51"/>
        <v>5672.5150011344622</v>
      </c>
      <c r="GA7" s="20">
        <f t="shared" si="52"/>
        <v>11504.623604527742</v>
      </c>
      <c r="GB7" s="20">
        <f t="shared" si="53"/>
        <v>68237.73024016725</v>
      </c>
      <c r="GC7" s="414">
        <f t="shared" si="54"/>
        <v>18.898783999999999</v>
      </c>
      <c r="GG7" s="734">
        <f t="shared" si="79"/>
        <v>4</v>
      </c>
      <c r="GH7" s="735">
        <f t="shared" si="55"/>
        <v>4</v>
      </c>
      <c r="GI7" s="518" t="s">
        <v>410</v>
      </c>
      <c r="GJ7" s="342">
        <f t="shared" si="56"/>
        <v>4.83019</v>
      </c>
      <c r="GK7" s="342">
        <f t="shared" si="57"/>
        <v>1.416226</v>
      </c>
      <c r="GL7" s="342">
        <f t="shared" si="58"/>
        <v>5.8795869999999999</v>
      </c>
      <c r="GM7" s="342">
        <f t="shared" si="59"/>
        <v>0.85803399999999996</v>
      </c>
      <c r="GN7" s="342">
        <f t="shared" si="60"/>
        <v>1.157451</v>
      </c>
      <c r="GO7" s="342">
        <f t="shared" si="61"/>
        <v>1.571032</v>
      </c>
      <c r="GP7" s="342">
        <f t="shared" si="62"/>
        <v>3.186264</v>
      </c>
      <c r="GQ7" s="342">
        <f t="shared" si="63"/>
        <v>18.898783999999999</v>
      </c>
      <c r="GR7" s="788">
        <f t="shared" si="80"/>
        <v>361069.42755490326</v>
      </c>
      <c r="GS7" s="716"/>
      <c r="GV7" s="718">
        <f t="shared" si="81"/>
        <v>4</v>
      </c>
      <c r="GW7" s="735">
        <v>4</v>
      </c>
      <c r="GX7" s="518" t="s">
        <v>410</v>
      </c>
      <c r="GY7" s="322" t="s">
        <v>397</v>
      </c>
      <c r="GZ7" s="924">
        <f t="shared" si="82"/>
        <v>68237.73024016725</v>
      </c>
      <c r="HA7" s="788">
        <f t="shared" si="83"/>
        <v>361069.42755490326</v>
      </c>
      <c r="HB7" s="922">
        <f t="shared" si="84"/>
        <v>18.898783999999999</v>
      </c>
      <c r="HC7" s="942">
        <f t="shared" si="85"/>
        <v>68237.731203637639</v>
      </c>
      <c r="HD7" s="858">
        <v>1.2685816618613899E-3</v>
      </c>
      <c r="HE7" s="54"/>
      <c r="HH7" s="54"/>
      <c r="HI7" s="54"/>
      <c r="HJ7" s="54"/>
      <c r="HK7" s="54"/>
      <c r="HL7" s="54"/>
      <c r="HM7" s="54"/>
      <c r="HN7" s="54"/>
      <c r="HQ7" s="734">
        <v>4</v>
      </c>
      <c r="HR7" s="869">
        <v>4</v>
      </c>
      <c r="HS7" s="518" t="s">
        <v>410</v>
      </c>
      <c r="HT7" s="788">
        <f t="shared" si="86"/>
        <v>361069.42755490326</v>
      </c>
      <c r="HU7" s="917">
        <f t="shared" si="87"/>
        <v>18.898783999999999</v>
      </c>
      <c r="HV7" s="870"/>
      <c r="HW7" s="768"/>
      <c r="HX7" s="870">
        <v>-2.307269999999999</v>
      </c>
      <c r="HY7" s="769">
        <v>25</v>
      </c>
      <c r="IP7" s="734">
        <v>4</v>
      </c>
      <c r="IQ7" s="869">
        <v>4</v>
      </c>
      <c r="IR7" s="518" t="s">
        <v>410</v>
      </c>
      <c r="IS7" s="913">
        <f t="shared" si="106"/>
        <v>68237.731203637639</v>
      </c>
      <c r="IT7" s="915">
        <f t="shared" si="88"/>
        <v>361069.42755490326</v>
      </c>
      <c r="IU7" s="919">
        <f t="shared" si="89"/>
        <v>18.898783999999999</v>
      </c>
      <c r="IV7" s="904">
        <f t="shared" si="90"/>
        <v>53112.039333792571</v>
      </c>
      <c r="IW7" s="904">
        <f t="shared" si="91"/>
        <v>307957.38822111068</v>
      </c>
      <c r="IX7" s="913">
        <f t="shared" si="92"/>
        <v>796.68059000688856</v>
      </c>
      <c r="IY7" s="882">
        <f t="shared" si="93"/>
        <v>67441.050613630752</v>
      </c>
      <c r="IZ7" s="928">
        <f t="shared" si="94"/>
        <v>18.678139290365657</v>
      </c>
      <c r="JA7" s="928">
        <f t="shared" si="95"/>
        <v>20.178139290365657</v>
      </c>
      <c r="JB7" s="913">
        <f t="shared" si="107"/>
        <v>68237.731203637639</v>
      </c>
      <c r="JC7" s="883">
        <v>0.22223345161998509</v>
      </c>
      <c r="JG7" s="734">
        <v>4</v>
      </c>
      <c r="JH7" s="869">
        <v>4</v>
      </c>
      <c r="JI7" s="518" t="s">
        <v>410</v>
      </c>
      <c r="JJ7" s="788">
        <f t="shared" si="96"/>
        <v>361069.42755490326</v>
      </c>
      <c r="JK7" s="917">
        <f t="shared" si="97"/>
        <v>18.678139290365657</v>
      </c>
      <c r="JL7" s="870">
        <v>21.068999999999999</v>
      </c>
      <c r="JM7" s="768"/>
      <c r="JN7" s="870"/>
      <c r="JO7" s="769">
        <v>25</v>
      </c>
      <c r="JT7" s="936">
        <v>3149</v>
      </c>
      <c r="JU7" s="936">
        <f t="shared" si="64"/>
        <v>0</v>
      </c>
      <c r="JV7" s="13">
        <v>0</v>
      </c>
      <c r="JW7" s="13">
        <f t="shared" si="65"/>
        <v>0</v>
      </c>
    </row>
    <row r="8" spans="1:294" x14ac:dyDescent="0.3">
      <c r="B8" s="756">
        <v>5</v>
      </c>
      <c r="C8" s="764" t="s">
        <v>53</v>
      </c>
      <c r="D8" s="906">
        <f>'DCA 3 month Phase I'!LV27</f>
        <v>5491960.0167713584</v>
      </c>
      <c r="E8" s="765">
        <v>4.8469810252916676E-2</v>
      </c>
      <c r="F8" s="766">
        <v>0.25074038084615313</v>
      </c>
      <c r="J8" s="756">
        <v>5</v>
      </c>
      <c r="K8" s="757">
        <v>5</v>
      </c>
      <c r="L8" s="732" t="s">
        <v>412</v>
      </c>
      <c r="M8" s="904">
        <v>0</v>
      </c>
      <c r="N8" s="944">
        <f t="shared" si="66"/>
        <v>0</v>
      </c>
      <c r="O8" s="753">
        <v>10</v>
      </c>
      <c r="P8" s="948">
        <f t="shared" si="67"/>
        <v>0</v>
      </c>
      <c r="Q8" s="733">
        <f t="shared" si="68"/>
        <v>0</v>
      </c>
      <c r="R8" s="758" t="s">
        <v>402</v>
      </c>
      <c r="V8" s="730">
        <f t="shared" si="98"/>
        <v>5</v>
      </c>
      <c r="W8" s="731">
        <f t="shared" si="0"/>
        <v>5</v>
      </c>
      <c r="X8" s="732" t="s">
        <v>412</v>
      </c>
      <c r="Y8" s="924">
        <f t="shared" si="69"/>
        <v>0</v>
      </c>
      <c r="Z8" s="944">
        <f t="shared" si="70"/>
        <v>0</v>
      </c>
      <c r="AD8" s="730">
        <v>5</v>
      </c>
      <c r="AE8" s="746">
        <v>5</v>
      </c>
      <c r="AF8" s="747" t="s">
        <v>412</v>
      </c>
      <c r="AG8" s="748">
        <v>73.19</v>
      </c>
      <c r="AK8" s="39"/>
      <c r="AQ8" s="730">
        <f t="shared" si="71"/>
        <v>5</v>
      </c>
      <c r="AR8" s="783">
        <f t="shared" si="1"/>
        <v>5</v>
      </c>
      <c r="AS8" s="732" t="s">
        <v>412</v>
      </c>
      <c r="AT8" s="732">
        <f t="shared" si="2"/>
        <v>73.19</v>
      </c>
      <c r="AU8" s="784">
        <f t="shared" si="72"/>
        <v>0</v>
      </c>
      <c r="AV8" s="784">
        <f t="shared" si="99"/>
        <v>0</v>
      </c>
      <c r="AW8" s="785">
        <f t="shared" si="3"/>
        <v>0</v>
      </c>
      <c r="AX8" s="786">
        <f t="shared" si="4"/>
        <v>18.222331461311715</v>
      </c>
      <c r="AY8" s="379">
        <f t="shared" si="108"/>
        <v>0</v>
      </c>
      <c r="AZ8" s="51">
        <f t="shared" si="73"/>
        <v>0</v>
      </c>
      <c r="BA8" s="53">
        <f t="shared" si="5"/>
        <v>0</v>
      </c>
      <c r="BL8" s="756">
        <f t="shared" si="100"/>
        <v>5</v>
      </c>
      <c r="BM8" s="758">
        <f t="shared" si="6"/>
        <v>5</v>
      </c>
      <c r="BN8" s="732" t="s">
        <v>412</v>
      </c>
      <c r="BO8" s="733">
        <f t="shared" si="7"/>
        <v>0</v>
      </c>
      <c r="BP8" s="379">
        <f t="shared" si="74"/>
        <v>0</v>
      </c>
      <c r="BQ8" s="733">
        <f t="shared" si="8"/>
        <v>0</v>
      </c>
      <c r="BR8" s="379">
        <f t="shared" si="75"/>
        <v>0</v>
      </c>
      <c r="BS8" s="807">
        <f t="shared" si="9"/>
        <v>0</v>
      </c>
      <c r="BT8" s="808">
        <f t="shared" si="10"/>
        <v>0</v>
      </c>
      <c r="BX8" s="842">
        <f>+BX7+1</f>
        <v>5</v>
      </c>
      <c r="BY8" s="825" t="s">
        <v>411</v>
      </c>
      <c r="BZ8" s="826">
        <v>0.37562046812353972</v>
      </c>
      <c r="CA8" s="827">
        <f>BZ8*$CA$9</f>
        <v>8547382.0029002503</v>
      </c>
      <c r="CB8" s="828"/>
      <c r="CC8" s="828">
        <v>1</v>
      </c>
      <c r="CD8" s="827">
        <f t="shared" si="11"/>
        <v>0</v>
      </c>
      <c r="CE8" s="827">
        <f t="shared" si="11"/>
        <v>8547382.0029002503</v>
      </c>
      <c r="CI8" s="730">
        <f t="shared" si="101"/>
        <v>5</v>
      </c>
      <c r="CJ8" s="746">
        <f t="shared" si="12"/>
        <v>5</v>
      </c>
      <c r="CK8" s="732" t="s">
        <v>412</v>
      </c>
      <c r="CL8" s="733">
        <f t="shared" si="13"/>
        <v>0</v>
      </c>
      <c r="CM8" s="379">
        <f t="shared" si="14"/>
        <v>0</v>
      </c>
      <c r="CN8" s="733">
        <f t="shared" si="15"/>
        <v>0</v>
      </c>
      <c r="CO8" s="379">
        <f t="shared" si="16"/>
        <v>0</v>
      </c>
      <c r="CP8" s="379">
        <f t="shared" si="17"/>
        <v>0</v>
      </c>
      <c r="CQ8" s="733">
        <f t="shared" si="18"/>
        <v>0</v>
      </c>
      <c r="CR8" s="808">
        <f t="shared" si="19"/>
        <v>0</v>
      </c>
      <c r="CX8" s="13"/>
      <c r="CY8" s="13"/>
      <c r="CZ8" s="13"/>
      <c r="DA8" s="13"/>
      <c r="DB8" s="13"/>
      <c r="DC8" s="13"/>
      <c r="DD8" s="13"/>
      <c r="DH8" s="730">
        <v>5</v>
      </c>
      <c r="DI8" s="840">
        <f t="shared" si="20"/>
        <v>5</v>
      </c>
      <c r="DJ8" s="732" t="s">
        <v>412</v>
      </c>
      <c r="DK8" s="733">
        <f t="shared" si="21"/>
        <v>0</v>
      </c>
      <c r="DL8" s="379">
        <f t="shared" si="77"/>
        <v>0</v>
      </c>
      <c r="DM8" s="733">
        <f t="shared" si="22"/>
        <v>0</v>
      </c>
      <c r="DN8" s="379">
        <f t="shared" si="23"/>
        <v>0</v>
      </c>
      <c r="DO8" s="733">
        <f t="shared" si="24"/>
        <v>0</v>
      </c>
      <c r="DP8" s="379">
        <f t="shared" si="25"/>
        <v>0</v>
      </c>
      <c r="DQ8" s="379">
        <f t="shared" si="78"/>
        <v>0</v>
      </c>
      <c r="DR8" s="733">
        <f t="shared" si="26"/>
        <v>0</v>
      </c>
      <c r="DS8" s="808">
        <f t="shared" si="27"/>
        <v>0</v>
      </c>
      <c r="DW8" s="730">
        <f t="shared" si="102"/>
        <v>5</v>
      </c>
      <c r="DX8" s="840">
        <f t="shared" si="28"/>
        <v>5</v>
      </c>
      <c r="DY8" s="732" t="s">
        <v>412</v>
      </c>
      <c r="DZ8" s="733">
        <f t="shared" si="29"/>
        <v>0</v>
      </c>
      <c r="EA8" s="379">
        <f t="shared" si="30"/>
        <v>0</v>
      </c>
      <c r="EB8" s="808">
        <f t="shared" si="31"/>
        <v>0</v>
      </c>
      <c r="EN8" s="730">
        <f t="shared" si="103"/>
        <v>5</v>
      </c>
      <c r="EO8" s="840">
        <f t="shared" si="32"/>
        <v>5</v>
      </c>
      <c r="EP8" s="732" t="s">
        <v>412</v>
      </c>
      <c r="EQ8" s="733">
        <f t="shared" si="33"/>
        <v>0</v>
      </c>
      <c r="ER8" s="379">
        <f t="shared" si="34"/>
        <v>0</v>
      </c>
      <c r="ES8" s="733">
        <f t="shared" si="35"/>
        <v>0</v>
      </c>
      <c r="ET8" s="379">
        <f t="shared" si="36"/>
        <v>0</v>
      </c>
      <c r="EU8" s="733">
        <f t="shared" si="37"/>
        <v>0</v>
      </c>
      <c r="EV8" s="379">
        <f t="shared" si="38"/>
        <v>0</v>
      </c>
      <c r="EW8" s="379">
        <f t="shared" si="39"/>
        <v>0</v>
      </c>
      <c r="EX8" s="733">
        <f t="shared" si="40"/>
        <v>0</v>
      </c>
      <c r="EY8" s="808">
        <f t="shared" si="41"/>
        <v>0</v>
      </c>
      <c r="FI8" s="730">
        <f t="shared" si="104"/>
        <v>5</v>
      </c>
      <c r="FJ8" s="731">
        <f t="shared" si="42"/>
        <v>5</v>
      </c>
      <c r="FK8" s="732" t="s">
        <v>412</v>
      </c>
      <c r="FL8" s="733">
        <f t="shared" si="43"/>
        <v>0</v>
      </c>
      <c r="FM8" s="379">
        <f t="shared" si="44"/>
        <v>0</v>
      </c>
      <c r="FN8" s="808">
        <f t="shared" si="45"/>
        <v>0</v>
      </c>
      <c r="FR8" s="730">
        <f t="shared" si="105"/>
        <v>5</v>
      </c>
      <c r="FS8" s="731">
        <v>5</v>
      </c>
      <c r="FT8" s="732" t="s">
        <v>412</v>
      </c>
      <c r="FU8" s="379">
        <f t="shared" si="46"/>
        <v>0</v>
      </c>
      <c r="FV8" s="379">
        <f t="shared" si="47"/>
        <v>0</v>
      </c>
      <c r="FW8" s="379">
        <f t="shared" si="48"/>
        <v>0</v>
      </c>
      <c r="FX8" s="379">
        <f t="shared" si="49"/>
        <v>0</v>
      </c>
      <c r="FY8" s="379">
        <f t="shared" si="50"/>
        <v>0</v>
      </c>
      <c r="FZ8" s="379">
        <f t="shared" si="51"/>
        <v>0</v>
      </c>
      <c r="GA8" s="379">
        <f t="shared" si="52"/>
        <v>0</v>
      </c>
      <c r="GB8" s="379">
        <f t="shared" si="53"/>
        <v>0</v>
      </c>
      <c r="GC8" s="852">
        <f t="shared" si="54"/>
        <v>0</v>
      </c>
      <c r="GG8" s="730">
        <f t="shared" si="79"/>
        <v>5</v>
      </c>
      <c r="GH8" s="731">
        <f t="shared" si="55"/>
        <v>5</v>
      </c>
      <c r="GI8" s="732" t="s">
        <v>412</v>
      </c>
      <c r="GJ8" s="808">
        <f t="shared" si="56"/>
        <v>0</v>
      </c>
      <c r="GK8" s="808">
        <f t="shared" si="57"/>
        <v>0</v>
      </c>
      <c r="GL8" s="808">
        <f t="shared" si="58"/>
        <v>0</v>
      </c>
      <c r="GM8" s="808">
        <f t="shared" si="59"/>
        <v>0</v>
      </c>
      <c r="GN8" s="808">
        <f t="shared" si="60"/>
        <v>0</v>
      </c>
      <c r="GO8" s="808">
        <f t="shared" si="61"/>
        <v>0</v>
      </c>
      <c r="GP8" s="808">
        <f t="shared" si="62"/>
        <v>0</v>
      </c>
      <c r="GQ8" s="808">
        <f t="shared" si="63"/>
        <v>0</v>
      </c>
      <c r="GR8" s="784">
        <f t="shared" si="80"/>
        <v>0</v>
      </c>
      <c r="GS8" s="716"/>
      <c r="GV8" s="717">
        <f t="shared" si="81"/>
        <v>5</v>
      </c>
      <c r="GW8" s="731">
        <v>5</v>
      </c>
      <c r="GX8" s="732" t="s">
        <v>412</v>
      </c>
      <c r="GY8" s="758" t="s">
        <v>402</v>
      </c>
      <c r="GZ8" s="906">
        <f t="shared" si="82"/>
        <v>0</v>
      </c>
      <c r="HA8" s="784">
        <f t="shared" si="83"/>
        <v>0</v>
      </c>
      <c r="HB8" s="922">
        <v>3149</v>
      </c>
      <c r="HC8" s="942">
        <f t="shared" si="85"/>
        <v>0</v>
      </c>
      <c r="HD8" s="857">
        <v>0</v>
      </c>
      <c r="HE8" s="54"/>
      <c r="HH8" s="54"/>
      <c r="HI8" s="54"/>
      <c r="HJ8" s="54"/>
      <c r="HK8" s="54"/>
      <c r="HL8" s="54"/>
      <c r="HM8" s="54"/>
      <c r="HN8" s="54"/>
      <c r="HQ8" s="730">
        <v>5</v>
      </c>
      <c r="HR8" s="867">
        <v>5</v>
      </c>
      <c r="HS8" s="732" t="s">
        <v>412</v>
      </c>
      <c r="HT8" s="784">
        <f t="shared" si="86"/>
        <v>0</v>
      </c>
      <c r="HU8" s="917">
        <f t="shared" si="87"/>
        <v>3149</v>
      </c>
      <c r="HV8" s="868"/>
      <c r="HW8" s="765"/>
      <c r="HX8" s="868">
        <v>0</v>
      </c>
      <c r="HY8" s="766">
        <v>10000</v>
      </c>
      <c r="IP8" s="730">
        <v>5</v>
      </c>
      <c r="IQ8" s="867">
        <v>5</v>
      </c>
      <c r="IR8" s="732" t="s">
        <v>412</v>
      </c>
      <c r="IS8" s="913">
        <f t="shared" si="106"/>
        <v>0</v>
      </c>
      <c r="IT8" s="915">
        <f t="shared" si="88"/>
        <v>0</v>
      </c>
      <c r="IU8" s="918">
        <f t="shared" si="89"/>
        <v>3149</v>
      </c>
      <c r="IV8" s="904">
        <v>0</v>
      </c>
      <c r="IW8" s="904">
        <f t="shared" si="91"/>
        <v>0</v>
      </c>
      <c r="IX8" s="913">
        <v>0</v>
      </c>
      <c r="IY8" s="881">
        <f t="shared" si="93"/>
        <v>0</v>
      </c>
      <c r="IZ8" s="928">
        <v>3149</v>
      </c>
      <c r="JA8" s="929">
        <f>IZ8</f>
        <v>3149</v>
      </c>
      <c r="JB8" s="913">
        <f t="shared" si="107"/>
        <v>0</v>
      </c>
      <c r="JC8" s="852">
        <v>0</v>
      </c>
      <c r="JG8" s="730">
        <v>5</v>
      </c>
      <c r="JH8" s="867">
        <v>5</v>
      </c>
      <c r="JI8" s="732" t="s">
        <v>412</v>
      </c>
      <c r="JJ8" s="784">
        <f t="shared" si="96"/>
        <v>0</v>
      </c>
      <c r="JK8" s="917">
        <f t="shared" si="97"/>
        <v>3149</v>
      </c>
      <c r="JL8" s="868">
        <v>3149</v>
      </c>
      <c r="JM8" s="765"/>
      <c r="JN8" s="868"/>
      <c r="JO8" s="766">
        <v>10000</v>
      </c>
      <c r="JT8" s="936">
        <v>7.0775299265402563</v>
      </c>
      <c r="JU8" s="936">
        <f t="shared" si="64"/>
        <v>2.8948363825404222E-2</v>
      </c>
      <c r="JV8" s="13">
        <v>7728396</v>
      </c>
      <c r="JW8" s="13">
        <f t="shared" si="65"/>
        <v>-99127.002049922012</v>
      </c>
    </row>
    <row r="9" spans="1:294" ht="17.25" thickBot="1" x14ac:dyDescent="0.35">
      <c r="B9" s="338">
        <v>6</v>
      </c>
      <c r="C9" s="770" t="s">
        <v>51</v>
      </c>
      <c r="D9" s="906">
        <f>'DCA 3 month Phase I'!LR27+'DCA 3 month Phase I'!LT27</f>
        <v>3574173.7380319173</v>
      </c>
      <c r="E9" s="768">
        <v>3.1544206870466232E-2</v>
      </c>
      <c r="F9" s="769">
        <v>0.16318212105471561</v>
      </c>
      <c r="J9" s="338">
        <v>6</v>
      </c>
      <c r="K9" s="759">
        <v>6</v>
      </c>
      <c r="L9" s="518" t="s">
        <v>413</v>
      </c>
      <c r="M9" s="904">
        <v>7629268.997950078</v>
      </c>
      <c r="N9" s="943">
        <f t="shared" si="66"/>
        <v>3.4832114732844615E-3</v>
      </c>
      <c r="O9" s="455">
        <v>1748.7241650294695</v>
      </c>
      <c r="P9" s="948">
        <f t="shared" si="67"/>
        <v>4362.7629505660252</v>
      </c>
      <c r="Q9" s="659">
        <f t="shared" si="68"/>
        <v>2.4941400140691405E-3</v>
      </c>
      <c r="R9" s="322" t="s">
        <v>397</v>
      </c>
      <c r="V9" s="734">
        <f t="shared" si="98"/>
        <v>6</v>
      </c>
      <c r="W9" s="735">
        <f t="shared" si="0"/>
        <v>6</v>
      </c>
      <c r="X9" s="518" t="s">
        <v>413</v>
      </c>
      <c r="Y9" s="924">
        <f t="shared" si="69"/>
        <v>417706.1051009458</v>
      </c>
      <c r="Z9" s="943">
        <f t="shared" si="70"/>
        <v>5.007797461179412E-3</v>
      </c>
      <c r="AD9" s="734">
        <v>6</v>
      </c>
      <c r="AE9" s="146">
        <v>6</v>
      </c>
      <c r="AF9" s="347" t="s">
        <v>413</v>
      </c>
      <c r="AG9" s="369">
        <v>6.16</v>
      </c>
      <c r="AQ9" s="734">
        <f t="shared" si="71"/>
        <v>6</v>
      </c>
      <c r="AR9" s="787">
        <f t="shared" si="1"/>
        <v>6</v>
      </c>
      <c r="AS9" s="518" t="s">
        <v>413</v>
      </c>
      <c r="AT9" s="518">
        <f t="shared" si="2"/>
        <v>6.16</v>
      </c>
      <c r="AU9" s="788">
        <f t="shared" si="72"/>
        <v>7629268.997950078</v>
      </c>
      <c r="AV9" s="788">
        <f t="shared" si="99"/>
        <v>13054.526952047911</v>
      </c>
      <c r="AW9" s="789">
        <f t="shared" si="3"/>
        <v>13614.535572236495</v>
      </c>
      <c r="AX9" s="790">
        <f t="shared" si="4"/>
        <v>18.222331461311715</v>
      </c>
      <c r="AY9" s="358">
        <f t="shared" si="108"/>
        <v>248088.57988911256</v>
      </c>
      <c r="AZ9" s="35">
        <f t="shared" si="73"/>
        <v>6.9146976256057912E-3</v>
      </c>
      <c r="BA9" s="55">
        <f t="shared" si="5"/>
        <v>3.2517999999999998</v>
      </c>
      <c r="BL9" s="338">
        <f t="shared" si="100"/>
        <v>6</v>
      </c>
      <c r="BM9" s="322">
        <f t="shared" si="6"/>
        <v>6</v>
      </c>
      <c r="BN9" s="518" t="s">
        <v>413</v>
      </c>
      <c r="BO9" s="659">
        <f t="shared" si="7"/>
        <v>6.9146976256057912E-3</v>
      </c>
      <c r="BP9" s="358">
        <f t="shared" si="74"/>
        <v>54319.091275650841</v>
      </c>
      <c r="BQ9" s="659">
        <f t="shared" si="8"/>
        <v>3.4832114732844615E-3</v>
      </c>
      <c r="BR9" s="358">
        <f t="shared" si="75"/>
        <v>27362.712325856304</v>
      </c>
      <c r="BS9" s="809">
        <f t="shared" si="9"/>
        <v>81681.803601507141</v>
      </c>
      <c r="BT9" s="810">
        <f t="shared" si="10"/>
        <v>1.0706370000000001</v>
      </c>
      <c r="BX9" s="421">
        <v>6</v>
      </c>
      <c r="BY9" s="63" t="s">
        <v>72</v>
      </c>
      <c r="BZ9" s="65">
        <f>SUM(BZ4:BZ8)</f>
        <v>1</v>
      </c>
      <c r="CA9" s="66">
        <v>22755368.059679482</v>
      </c>
      <c r="CB9" s="67"/>
      <c r="CC9" s="67"/>
      <c r="CD9" s="66">
        <f>SUM(CD4:CD8)</f>
        <v>5354240.1246443363</v>
      </c>
      <c r="CE9" s="66">
        <f>SUM(CE4:CE8)</f>
        <v>17401127.935035147</v>
      </c>
      <c r="CI9" s="734">
        <f t="shared" si="101"/>
        <v>6</v>
      </c>
      <c r="CJ9" s="146">
        <f t="shared" si="12"/>
        <v>6</v>
      </c>
      <c r="CK9" s="518" t="s">
        <v>413</v>
      </c>
      <c r="CL9" s="344">
        <f t="shared" si="13"/>
        <v>3.4832114732844615E-3</v>
      </c>
      <c r="CM9" s="20">
        <f t="shared" si="14"/>
        <v>18649.950632881177</v>
      </c>
      <c r="CN9" s="344">
        <f t="shared" si="15"/>
        <v>2.4941400140691405E-3</v>
      </c>
      <c r="CO9" s="20">
        <f t="shared" si="16"/>
        <v>43400.849472707472</v>
      </c>
      <c r="CP9" s="20">
        <f t="shared" si="17"/>
        <v>62050.800105588649</v>
      </c>
      <c r="CQ9" s="344">
        <f t="shared" si="18"/>
        <v>2.7268642696901585E-3</v>
      </c>
      <c r="CR9" s="342">
        <f t="shared" si="19"/>
        <v>0.81332599999999999</v>
      </c>
      <c r="DH9" s="734">
        <v>6</v>
      </c>
      <c r="DI9" s="745">
        <f t="shared" si="20"/>
        <v>6</v>
      </c>
      <c r="DJ9" s="518" t="s">
        <v>413</v>
      </c>
      <c r="DK9" s="344">
        <f t="shared" si="21"/>
        <v>2.7268642696901585E-3</v>
      </c>
      <c r="DL9" s="20">
        <f t="shared" si="77"/>
        <v>856.11612028161426</v>
      </c>
      <c r="DM9" s="344">
        <f t="shared" si="22"/>
        <v>2.4941400140691405E-3</v>
      </c>
      <c r="DN9" s="20">
        <f t="shared" si="23"/>
        <v>4846.1155242869127</v>
      </c>
      <c r="DO9" s="344">
        <f t="shared" si="24"/>
        <v>3.4832114732844615E-3</v>
      </c>
      <c r="DP9" s="20">
        <f t="shared" si="25"/>
        <v>11268.200122908453</v>
      </c>
      <c r="DQ9" s="20">
        <f t="shared" si="78"/>
        <v>16970.431767476977</v>
      </c>
      <c r="DR9" s="344">
        <f t="shared" si="26"/>
        <v>3.0900501306733181E-3</v>
      </c>
      <c r="DS9" s="342">
        <f t="shared" si="27"/>
        <v>0.222439</v>
      </c>
      <c r="DW9" s="734">
        <f t="shared" si="102"/>
        <v>6</v>
      </c>
      <c r="DX9" s="745">
        <f t="shared" si="28"/>
        <v>6</v>
      </c>
      <c r="DY9" s="518" t="s">
        <v>413</v>
      </c>
      <c r="DZ9" s="344">
        <f t="shared" si="29"/>
        <v>2.4941400140691405E-3</v>
      </c>
      <c r="EA9" s="20">
        <f t="shared" si="30"/>
        <v>8914.4897372604792</v>
      </c>
      <c r="EB9" s="342">
        <f t="shared" si="31"/>
        <v>0.11684600000000001</v>
      </c>
      <c r="EN9" s="734">
        <f t="shared" si="103"/>
        <v>6</v>
      </c>
      <c r="EO9" s="745">
        <f t="shared" si="32"/>
        <v>6</v>
      </c>
      <c r="EP9" s="518" t="s">
        <v>413</v>
      </c>
      <c r="EQ9" s="344">
        <f t="shared" si="33"/>
        <v>5.007797461179412E-3</v>
      </c>
      <c r="ER9" s="20">
        <f t="shared" si="34"/>
        <v>35620.294879254303</v>
      </c>
      <c r="ES9" s="344">
        <f t="shared" si="35"/>
        <v>2.7268642696901585E-3</v>
      </c>
      <c r="ET9" s="20">
        <f t="shared" si="36"/>
        <v>2615.1288554380035</v>
      </c>
      <c r="EU9" s="344">
        <f t="shared" si="37"/>
        <v>3.4832114732844615E-3</v>
      </c>
      <c r="EV9" s="20">
        <f t="shared" si="38"/>
        <v>8949.7006740556335</v>
      </c>
      <c r="EW9" s="20">
        <f t="shared" si="39"/>
        <v>47185.124408747935</v>
      </c>
      <c r="EX9" s="344">
        <f t="shared" si="40"/>
        <v>4.4341201599168304E-3</v>
      </c>
      <c r="EY9" s="342">
        <f t="shared" si="41"/>
        <v>0.618475</v>
      </c>
      <c r="FI9" s="734">
        <f t="shared" si="104"/>
        <v>6</v>
      </c>
      <c r="FJ9" s="735">
        <f t="shared" si="42"/>
        <v>6</v>
      </c>
      <c r="FK9" s="518" t="s">
        <v>413</v>
      </c>
      <c r="FL9" s="344">
        <f t="shared" si="43"/>
        <v>5.007797461179412E-3</v>
      </c>
      <c r="FM9" s="20">
        <f t="shared" si="44"/>
        <v>94114.685370238745</v>
      </c>
      <c r="FN9" s="342">
        <f t="shared" si="45"/>
        <v>1.2336</v>
      </c>
      <c r="FR9" s="734">
        <f t="shared" si="105"/>
        <v>6</v>
      </c>
      <c r="FS9" s="735">
        <v>6</v>
      </c>
      <c r="FT9" s="518" t="s">
        <v>413</v>
      </c>
      <c r="FU9" s="20">
        <f t="shared" si="46"/>
        <v>248088.57988911256</v>
      </c>
      <c r="FV9" s="20">
        <f t="shared" si="47"/>
        <v>81681.803601507141</v>
      </c>
      <c r="FW9" s="20">
        <f t="shared" si="48"/>
        <v>62050.800105588649</v>
      </c>
      <c r="FX9" s="20">
        <f t="shared" si="49"/>
        <v>16970.431767476977</v>
      </c>
      <c r="FY9" s="20">
        <f t="shared" si="50"/>
        <v>8914.4897372604792</v>
      </c>
      <c r="FZ9" s="20">
        <f t="shared" si="51"/>
        <v>47185.124408747935</v>
      </c>
      <c r="GA9" s="20">
        <f t="shared" si="52"/>
        <v>94114.685370238745</v>
      </c>
      <c r="GB9" s="20">
        <f t="shared" si="53"/>
        <v>559005.91487993253</v>
      </c>
      <c r="GC9" s="414">
        <f t="shared" si="54"/>
        <v>7.3271230000000003</v>
      </c>
      <c r="GG9" s="734">
        <f t="shared" si="79"/>
        <v>6</v>
      </c>
      <c r="GH9" s="735">
        <f t="shared" si="55"/>
        <v>6</v>
      </c>
      <c r="GI9" s="518" t="s">
        <v>413</v>
      </c>
      <c r="GJ9" s="342">
        <f t="shared" si="56"/>
        <v>3.2517999999999998</v>
      </c>
      <c r="GK9" s="342">
        <f t="shared" si="57"/>
        <v>1.0706370000000001</v>
      </c>
      <c r="GL9" s="342">
        <f t="shared" si="58"/>
        <v>0.81332599999999999</v>
      </c>
      <c r="GM9" s="342">
        <f t="shared" si="59"/>
        <v>0.222439</v>
      </c>
      <c r="GN9" s="342">
        <f t="shared" si="60"/>
        <v>0.11684600000000001</v>
      </c>
      <c r="GO9" s="342">
        <f t="shared" si="61"/>
        <v>0.618475</v>
      </c>
      <c r="GP9" s="342">
        <f t="shared" si="62"/>
        <v>1.2336</v>
      </c>
      <c r="GQ9" s="342">
        <f t="shared" si="63"/>
        <v>7.3271230000000003</v>
      </c>
      <c r="GR9" s="788">
        <f t="shared" si="80"/>
        <v>7629268.997950078</v>
      </c>
      <c r="GS9" s="716"/>
      <c r="GV9" s="718">
        <f t="shared" si="81"/>
        <v>6</v>
      </c>
      <c r="GW9" s="735">
        <v>6</v>
      </c>
      <c r="GX9" s="518" t="s">
        <v>413</v>
      </c>
      <c r="GY9" s="322" t="s">
        <v>397</v>
      </c>
      <c r="GZ9" s="924">
        <f t="shared" si="82"/>
        <v>559005.91487993253</v>
      </c>
      <c r="HA9" s="788">
        <f t="shared" si="83"/>
        <v>7629268.997950078</v>
      </c>
      <c r="HB9" s="922">
        <f t="shared" ref="HB9:HB27" si="109">ROUND(IF(HA9&lt;&gt;0,GZ9/HA9*100,0),6)</f>
        <v>7.3271230000000003</v>
      </c>
      <c r="HC9" s="942">
        <f t="shared" si="85"/>
        <v>559005.92348066973</v>
      </c>
      <c r="HD9" s="858">
        <v>2.5401523569598794E-2</v>
      </c>
      <c r="HE9" s="54"/>
      <c r="HH9" s="54"/>
      <c r="HI9" s="54"/>
      <c r="HJ9" s="54"/>
      <c r="HK9" s="54"/>
      <c r="HL9" s="54"/>
      <c r="HM9" s="54"/>
      <c r="HN9" s="54"/>
      <c r="HQ9" s="734">
        <v>6</v>
      </c>
      <c r="HR9" s="869">
        <v>6</v>
      </c>
      <c r="HS9" s="518" t="s">
        <v>413</v>
      </c>
      <c r="HT9" s="788">
        <f t="shared" si="86"/>
        <v>7629268.997950078</v>
      </c>
      <c r="HU9" s="917">
        <f t="shared" si="87"/>
        <v>7.3271230000000003</v>
      </c>
      <c r="HV9" s="870"/>
      <c r="HW9" s="768"/>
      <c r="HX9" s="870">
        <v>-2.1061819999999996</v>
      </c>
      <c r="HY9" s="769">
        <v>10</v>
      </c>
      <c r="IP9" s="734">
        <v>6</v>
      </c>
      <c r="IQ9" s="869">
        <v>6</v>
      </c>
      <c r="IR9" s="518" t="s">
        <v>413</v>
      </c>
      <c r="IS9" s="913">
        <f t="shared" si="106"/>
        <v>559005.92348066973</v>
      </c>
      <c r="IT9" s="915">
        <f t="shared" si="88"/>
        <v>7629268.997950078</v>
      </c>
      <c r="IU9" s="919">
        <f t="shared" si="89"/>
        <v>7.3271230000000003</v>
      </c>
      <c r="IV9" s="904">
        <f t="shared" ref="IV9:IV14" si="110">IT9*$IK$4/(1-$IL$4)</f>
        <v>1122238.5618499762</v>
      </c>
      <c r="IW9" s="904">
        <f t="shared" si="91"/>
        <v>6507030.436100102</v>
      </c>
      <c r="IX9" s="913">
        <f t="shared" ref="IX9:IX14" si="111">IV9*$II$4</f>
        <v>16833.578427749642</v>
      </c>
      <c r="IY9" s="882">
        <f t="shared" si="93"/>
        <v>542172.34505292005</v>
      </c>
      <c r="IZ9" s="928">
        <f t="shared" ref="IZ9:IZ14" si="112">100*IY9/IT9</f>
        <v>7.1064782903656605</v>
      </c>
      <c r="JA9" s="928">
        <f t="shared" ref="JA9:JA14" si="113">IZ9+1.5</f>
        <v>8.6064782903656614</v>
      </c>
      <c r="JB9" s="913">
        <f t="shared" si="107"/>
        <v>559005.92348066973</v>
      </c>
      <c r="JC9" s="883">
        <v>0.22223336728629928</v>
      </c>
      <c r="JG9" s="734">
        <v>6</v>
      </c>
      <c r="JH9" s="869">
        <v>6</v>
      </c>
      <c r="JI9" s="518" t="s">
        <v>413</v>
      </c>
      <c r="JJ9" s="788">
        <f t="shared" si="96"/>
        <v>7629268.997950078</v>
      </c>
      <c r="JK9" s="917">
        <f t="shared" si="97"/>
        <v>7.1064782903656605</v>
      </c>
      <c r="JL9" s="870">
        <v>9.234</v>
      </c>
      <c r="JM9" s="768"/>
      <c r="JN9" s="870"/>
      <c r="JO9" s="769">
        <v>10</v>
      </c>
      <c r="JT9" s="936">
        <v>6.961513926540257</v>
      </c>
      <c r="JU9" s="936">
        <f t="shared" si="64"/>
        <v>3.2363363825402836E-2</v>
      </c>
      <c r="JV9" s="13">
        <v>39453520</v>
      </c>
      <c r="JW9" s="13">
        <f t="shared" si="65"/>
        <v>-1338466.5970069468</v>
      </c>
    </row>
    <row r="10" spans="1:294" x14ac:dyDescent="0.3">
      <c r="B10" s="756">
        <v>7</v>
      </c>
      <c r="C10" s="764" t="s">
        <v>54</v>
      </c>
      <c r="D10" s="906">
        <f>'DCA 3 month Phase I'!LX27</f>
        <v>10641372.517436014</v>
      </c>
      <c r="E10" s="765">
        <v>9.3916435148038185E-2</v>
      </c>
      <c r="F10" s="766">
        <v>0.48584144633236104</v>
      </c>
      <c r="J10" s="756">
        <v>7</v>
      </c>
      <c r="K10" s="757">
        <v>7</v>
      </c>
      <c r="L10" s="732" t="s">
        <v>414</v>
      </c>
      <c r="M10" s="904">
        <v>38115053.402993053</v>
      </c>
      <c r="N10" s="944">
        <f t="shared" si="66"/>
        <v>1.7401770910663607E-2</v>
      </c>
      <c r="O10" s="753">
        <v>896.12073276521915</v>
      </c>
      <c r="P10" s="948">
        <f t="shared" si="67"/>
        <v>42533.3908806896</v>
      </c>
      <c r="Q10" s="733">
        <f t="shared" si="68"/>
        <v>2.4315836851921565E-2</v>
      </c>
      <c r="R10" s="758" t="s">
        <v>397</v>
      </c>
      <c r="V10" s="730">
        <f t="shared" si="98"/>
        <v>7</v>
      </c>
      <c r="W10" s="731">
        <f t="shared" si="0"/>
        <v>7</v>
      </c>
      <c r="X10" s="732" t="s">
        <v>414</v>
      </c>
      <c r="Y10" s="924">
        <f t="shared" si="69"/>
        <v>2047436.3933051445</v>
      </c>
      <c r="Z10" s="944">
        <f t="shared" si="70"/>
        <v>2.4546317727010443E-2</v>
      </c>
      <c r="AD10" s="730">
        <v>7</v>
      </c>
      <c r="AE10" s="746">
        <v>7</v>
      </c>
      <c r="AF10" s="747" t="s">
        <v>414</v>
      </c>
      <c r="AG10" s="748">
        <v>4.88</v>
      </c>
      <c r="AQ10" s="730">
        <f t="shared" si="71"/>
        <v>7</v>
      </c>
      <c r="AR10" s="783">
        <f t="shared" si="1"/>
        <v>7</v>
      </c>
      <c r="AS10" s="732" t="s">
        <v>414</v>
      </c>
      <c r="AT10" s="732">
        <f t="shared" si="2"/>
        <v>4.88</v>
      </c>
      <c r="AU10" s="784">
        <f t="shared" si="72"/>
        <v>38115053.402993053</v>
      </c>
      <c r="AV10" s="784">
        <f t="shared" si="99"/>
        <v>51667.072390723915</v>
      </c>
      <c r="AW10" s="785">
        <f t="shared" si="3"/>
        <v>53883.468743115227</v>
      </c>
      <c r="AX10" s="786">
        <f t="shared" si="4"/>
        <v>18.222331461311715</v>
      </c>
      <c r="AY10" s="379">
        <f t="shared" si="108"/>
        <v>981882.42772227502</v>
      </c>
      <c r="AZ10" s="51">
        <f t="shared" si="73"/>
        <v>2.7366919084425057E-2</v>
      </c>
      <c r="BA10" s="53">
        <f t="shared" si="5"/>
        <v>2.576101</v>
      </c>
      <c r="BL10" s="756">
        <f t="shared" si="100"/>
        <v>7</v>
      </c>
      <c r="BM10" s="758">
        <f t="shared" si="6"/>
        <v>7</v>
      </c>
      <c r="BN10" s="732" t="s">
        <v>414</v>
      </c>
      <c r="BO10" s="733">
        <f t="shared" si="7"/>
        <v>2.7366919084425057E-2</v>
      </c>
      <c r="BP10" s="379">
        <f t="shared" si="74"/>
        <v>214983.54030339836</v>
      </c>
      <c r="BQ10" s="733">
        <f t="shared" si="8"/>
        <v>1.7401770910663607E-2</v>
      </c>
      <c r="BR10" s="379">
        <f t="shared" si="75"/>
        <v>136701.33296269621</v>
      </c>
      <c r="BS10" s="807">
        <f t="shared" si="9"/>
        <v>351684.8732660946</v>
      </c>
      <c r="BT10" s="808">
        <f t="shared" si="10"/>
        <v>0.92269299999999999</v>
      </c>
      <c r="BW10" s="1"/>
      <c r="BX10" s="280"/>
      <c r="BY10" s="10"/>
      <c r="BZ10" s="10"/>
      <c r="CA10" s="10"/>
      <c r="CB10" s="10"/>
      <c r="CC10" s="10"/>
      <c r="CD10" s="10"/>
      <c r="CE10" s="10"/>
      <c r="CI10" s="730">
        <f t="shared" si="101"/>
        <v>7</v>
      </c>
      <c r="CJ10" s="746">
        <f t="shared" si="12"/>
        <v>7</v>
      </c>
      <c r="CK10" s="732" t="s">
        <v>414</v>
      </c>
      <c r="CL10" s="733">
        <f t="shared" si="13"/>
        <v>1.7401770910663607E-2</v>
      </c>
      <c r="CM10" s="379">
        <f t="shared" si="14"/>
        <v>93173.260049743694</v>
      </c>
      <c r="CN10" s="733">
        <f t="shared" si="15"/>
        <v>2.4315836851921565E-2</v>
      </c>
      <c r="CO10" s="379">
        <f t="shared" si="16"/>
        <v>423122.9879077294</v>
      </c>
      <c r="CP10" s="379">
        <f t="shared" si="17"/>
        <v>516296.2479574731</v>
      </c>
      <c r="CQ10" s="733">
        <f t="shared" si="18"/>
        <v>2.2688986906448012E-2</v>
      </c>
      <c r="CR10" s="808">
        <f t="shared" si="19"/>
        <v>1.354573</v>
      </c>
      <c r="DC10" s="2" t="s">
        <v>445</v>
      </c>
      <c r="DD10" s="912">
        <v>5448128.1456260383</v>
      </c>
      <c r="DE10" s="1"/>
      <c r="DH10" s="730">
        <v>7</v>
      </c>
      <c r="DI10" s="840">
        <f t="shared" si="20"/>
        <v>7</v>
      </c>
      <c r="DJ10" s="732" t="s">
        <v>414</v>
      </c>
      <c r="DK10" s="733">
        <f t="shared" si="21"/>
        <v>2.2688986906448012E-2</v>
      </c>
      <c r="DL10" s="379">
        <f t="shared" si="77"/>
        <v>7123.3495775261772</v>
      </c>
      <c r="DM10" s="733">
        <f t="shared" si="22"/>
        <v>2.4315836851921565E-2</v>
      </c>
      <c r="DN10" s="379">
        <f t="shared" si="23"/>
        <v>47245.685402350595</v>
      </c>
      <c r="DO10" s="733">
        <f t="shared" si="24"/>
        <v>1.7401770910663607E-2</v>
      </c>
      <c r="DP10" s="379">
        <f t="shared" si="25"/>
        <v>56294.783885018136</v>
      </c>
      <c r="DQ10" s="379">
        <f t="shared" si="78"/>
        <v>110663.81886489491</v>
      </c>
      <c r="DR10" s="733">
        <f t="shared" si="26"/>
        <v>2.0150150133458639E-2</v>
      </c>
      <c r="DS10" s="808">
        <f t="shared" si="27"/>
        <v>0.29034199999999999</v>
      </c>
      <c r="DW10" s="730">
        <f t="shared" si="102"/>
        <v>7</v>
      </c>
      <c r="DX10" s="840">
        <f t="shared" si="28"/>
        <v>7</v>
      </c>
      <c r="DY10" s="732" t="s">
        <v>414</v>
      </c>
      <c r="DZ10" s="733">
        <f t="shared" si="29"/>
        <v>2.4315836851921565E-2</v>
      </c>
      <c r="EA10" s="379">
        <f t="shared" si="30"/>
        <v>86909.025494406742</v>
      </c>
      <c r="EB10" s="808">
        <f t="shared" si="31"/>
        <v>0.228018</v>
      </c>
      <c r="EH10" s="4"/>
      <c r="EI10" s="4"/>
      <c r="EJ10" s="4"/>
      <c r="EN10" s="730">
        <f t="shared" si="103"/>
        <v>7</v>
      </c>
      <c r="EO10" s="840">
        <f t="shared" si="32"/>
        <v>7</v>
      </c>
      <c r="EP10" s="732" t="s">
        <v>414</v>
      </c>
      <c r="EQ10" s="733">
        <f t="shared" si="33"/>
        <v>2.4546317727010443E-2</v>
      </c>
      <c r="ER10" s="379">
        <f t="shared" si="34"/>
        <v>174597.13225503676</v>
      </c>
      <c r="ES10" s="733">
        <f t="shared" si="35"/>
        <v>2.2688986906448012E-2</v>
      </c>
      <c r="ET10" s="379">
        <f t="shared" si="36"/>
        <v>21759.287772122654</v>
      </c>
      <c r="EU10" s="733">
        <f t="shared" si="37"/>
        <v>1.7401770910663607E-2</v>
      </c>
      <c r="EV10" s="379">
        <f t="shared" si="38"/>
        <v>44711.79600877739</v>
      </c>
      <c r="EW10" s="379">
        <f t="shared" si="39"/>
        <v>241068.21603593681</v>
      </c>
      <c r="EX10" s="733">
        <f t="shared" si="40"/>
        <v>2.2653864963466296E-2</v>
      </c>
      <c r="EY10" s="808">
        <f t="shared" si="41"/>
        <v>0.63247500000000001</v>
      </c>
      <c r="FI10" s="730">
        <f t="shared" si="104"/>
        <v>7</v>
      </c>
      <c r="FJ10" s="731">
        <f t="shared" si="42"/>
        <v>7</v>
      </c>
      <c r="FK10" s="732" t="s">
        <v>414</v>
      </c>
      <c r="FL10" s="733">
        <f t="shared" si="43"/>
        <v>2.4546317727010443E-2</v>
      </c>
      <c r="FM10" s="379">
        <f t="shared" si="44"/>
        <v>461314.37778464425</v>
      </c>
      <c r="FN10" s="808">
        <f t="shared" si="45"/>
        <v>1.210321</v>
      </c>
      <c r="FR10" s="730">
        <f t="shared" si="105"/>
        <v>7</v>
      </c>
      <c r="FS10" s="731">
        <v>7</v>
      </c>
      <c r="FT10" s="732" t="s">
        <v>414</v>
      </c>
      <c r="FU10" s="379">
        <f t="shared" si="46"/>
        <v>981882.42772227502</v>
      </c>
      <c r="FV10" s="379">
        <f t="shared" si="47"/>
        <v>351684.8732660946</v>
      </c>
      <c r="FW10" s="379">
        <f t="shared" si="48"/>
        <v>516296.2479574731</v>
      </c>
      <c r="FX10" s="379">
        <f t="shared" si="49"/>
        <v>110663.81886489491</v>
      </c>
      <c r="FY10" s="379">
        <f t="shared" si="50"/>
        <v>86909.025494406742</v>
      </c>
      <c r="FZ10" s="379">
        <f t="shared" si="51"/>
        <v>241068.21603593681</v>
      </c>
      <c r="GA10" s="379">
        <f t="shared" si="52"/>
        <v>461314.37778464425</v>
      </c>
      <c r="GB10" s="379">
        <f t="shared" si="53"/>
        <v>2749818.9871257255</v>
      </c>
      <c r="GC10" s="852">
        <f t="shared" si="54"/>
        <v>7.2145219999999997</v>
      </c>
      <c r="GG10" s="730">
        <f t="shared" si="79"/>
        <v>7</v>
      </c>
      <c r="GH10" s="731">
        <f t="shared" si="55"/>
        <v>7</v>
      </c>
      <c r="GI10" s="732" t="s">
        <v>414</v>
      </c>
      <c r="GJ10" s="808">
        <f t="shared" si="56"/>
        <v>2.576101</v>
      </c>
      <c r="GK10" s="808">
        <f t="shared" si="57"/>
        <v>0.92269299999999999</v>
      </c>
      <c r="GL10" s="808">
        <f t="shared" si="58"/>
        <v>1.354573</v>
      </c>
      <c r="GM10" s="808">
        <f t="shared" si="59"/>
        <v>0.29034199999999999</v>
      </c>
      <c r="GN10" s="808">
        <f t="shared" si="60"/>
        <v>0.228018</v>
      </c>
      <c r="GO10" s="808">
        <f t="shared" si="61"/>
        <v>0.63247500000000001</v>
      </c>
      <c r="GP10" s="808">
        <f t="shared" si="62"/>
        <v>1.210321</v>
      </c>
      <c r="GQ10" s="808">
        <f t="shared" si="63"/>
        <v>7.2145219999999997</v>
      </c>
      <c r="GR10" s="784">
        <f t="shared" si="80"/>
        <v>38115053.402993053</v>
      </c>
      <c r="GS10" s="716"/>
      <c r="GV10" s="717">
        <f t="shared" si="81"/>
        <v>7</v>
      </c>
      <c r="GW10" s="731">
        <v>7</v>
      </c>
      <c r="GX10" s="732" t="s">
        <v>414</v>
      </c>
      <c r="GY10" s="758" t="s">
        <v>397</v>
      </c>
      <c r="GZ10" s="906">
        <f t="shared" si="82"/>
        <v>2749818.9871257255</v>
      </c>
      <c r="HA10" s="784">
        <f t="shared" si="83"/>
        <v>38115053.402993053</v>
      </c>
      <c r="HB10" s="922">
        <f t="shared" si="109"/>
        <v>7.2145219999999997</v>
      </c>
      <c r="HC10" s="942">
        <f t="shared" si="85"/>
        <v>2749818.9130706824</v>
      </c>
      <c r="HD10" s="857">
        <v>-0.10420352779328823</v>
      </c>
      <c r="HE10" s="54"/>
      <c r="HH10" s="54"/>
      <c r="HI10" s="54"/>
      <c r="HJ10" s="54"/>
      <c r="HK10" s="54"/>
      <c r="HL10" s="54"/>
      <c r="HM10" s="54"/>
      <c r="HN10" s="54"/>
      <c r="HQ10" s="730">
        <v>7</v>
      </c>
      <c r="HR10" s="867">
        <v>7</v>
      </c>
      <c r="HS10" s="732" t="s">
        <v>414</v>
      </c>
      <c r="HT10" s="784">
        <f t="shared" si="86"/>
        <v>38115053.402993053</v>
      </c>
      <c r="HU10" s="917">
        <f t="shared" si="87"/>
        <v>7.2145219999999997</v>
      </c>
      <c r="HV10" s="868"/>
      <c r="HW10" s="765"/>
      <c r="HX10" s="868">
        <v>-1.6458860000000008</v>
      </c>
      <c r="HY10" s="766">
        <v>10</v>
      </c>
      <c r="IP10" s="730">
        <v>7</v>
      </c>
      <c r="IQ10" s="867">
        <v>7</v>
      </c>
      <c r="IR10" s="732" t="s">
        <v>414</v>
      </c>
      <c r="IS10" s="913">
        <f t="shared" si="106"/>
        <v>2749818.9130706824</v>
      </c>
      <c r="IT10" s="915">
        <f t="shared" si="88"/>
        <v>38115053.402993053</v>
      </c>
      <c r="IU10" s="918">
        <f t="shared" si="89"/>
        <v>7.2145219999999997</v>
      </c>
      <c r="IV10" s="904">
        <f t="shared" si="110"/>
        <v>5606589.9272004999</v>
      </c>
      <c r="IW10" s="904">
        <f t="shared" si="91"/>
        <v>32508463.475792553</v>
      </c>
      <c r="IX10" s="913">
        <f t="shared" si="111"/>
        <v>84098.848908007494</v>
      </c>
      <c r="IY10" s="881">
        <f t="shared" si="93"/>
        <v>2665720.0641626748</v>
      </c>
      <c r="IZ10" s="928">
        <f t="shared" si="112"/>
        <v>6.9938772903656599</v>
      </c>
      <c r="JA10" s="928">
        <f t="shared" si="113"/>
        <v>8.4938772903656599</v>
      </c>
      <c r="JB10" s="913">
        <f t="shared" si="107"/>
        <v>2749818.9130706824</v>
      </c>
      <c r="JC10" s="852">
        <v>0.22223282916511877</v>
      </c>
      <c r="JG10" s="730">
        <v>7</v>
      </c>
      <c r="JH10" s="867">
        <v>7</v>
      </c>
      <c r="JI10" s="732" t="s">
        <v>414</v>
      </c>
      <c r="JJ10" s="784">
        <f t="shared" si="96"/>
        <v>38115053.402993053</v>
      </c>
      <c r="JK10" s="917">
        <f t="shared" si="97"/>
        <v>6.9938772903656599</v>
      </c>
      <c r="JL10" s="868">
        <v>8.6649999999999991</v>
      </c>
      <c r="JM10" s="765"/>
      <c r="JN10" s="868"/>
      <c r="JO10" s="766">
        <v>10</v>
      </c>
      <c r="JT10" s="936">
        <v>13.512674926540257</v>
      </c>
      <c r="JU10" s="936">
        <f t="shared" si="64"/>
        <v>6.6440363825403637E-2</v>
      </c>
      <c r="JV10" s="13">
        <v>26972258</v>
      </c>
      <c r="JW10" s="13">
        <f t="shared" si="65"/>
        <v>34360.860604844987</v>
      </c>
    </row>
    <row r="11" spans="1:294" x14ac:dyDescent="0.3">
      <c r="B11" s="338">
        <v>8</v>
      </c>
      <c r="C11" s="767" t="s">
        <v>250</v>
      </c>
      <c r="D11" s="906">
        <f>'DCA 3 month Phase I'!MT13</f>
        <v>18998322.143907189</v>
      </c>
      <c r="E11" s="768">
        <v>0.16902044974442379</v>
      </c>
      <c r="F11" s="769">
        <v>0.87436389205081888</v>
      </c>
      <c r="J11" s="338">
        <v>8</v>
      </c>
      <c r="K11" s="759">
        <v>8</v>
      </c>
      <c r="L11" s="518" t="s">
        <v>415</v>
      </c>
      <c r="M11" s="904">
        <v>27006618.860604845</v>
      </c>
      <c r="N11" s="943">
        <f t="shared" si="66"/>
        <v>1.2330115073299303E-2</v>
      </c>
      <c r="O11" s="455">
        <v>362.05552889365669</v>
      </c>
      <c r="P11" s="948">
        <f t="shared" si="67"/>
        <v>74592.477411212953</v>
      </c>
      <c r="Q11" s="659">
        <f t="shared" si="68"/>
        <v>4.2643637705715214E-2</v>
      </c>
      <c r="R11" s="322" t="s">
        <v>397</v>
      </c>
      <c r="V11" s="734">
        <f t="shared" si="98"/>
        <v>8</v>
      </c>
      <c r="W11" s="735">
        <f t="shared" si="0"/>
        <v>8</v>
      </c>
      <c r="X11" s="518" t="s">
        <v>415</v>
      </c>
      <c r="Y11" s="924">
        <f t="shared" si="69"/>
        <v>2793485.5486106239</v>
      </c>
      <c r="Z11" s="943">
        <f t="shared" si="70"/>
        <v>3.3490556320197734E-2</v>
      </c>
      <c r="AD11" s="734">
        <v>8</v>
      </c>
      <c r="AE11" s="146">
        <v>8</v>
      </c>
      <c r="AF11" s="347" t="s">
        <v>415</v>
      </c>
      <c r="AG11" s="369">
        <v>9.2200000000000006</v>
      </c>
      <c r="AQ11" s="734">
        <f t="shared" si="71"/>
        <v>8</v>
      </c>
      <c r="AR11" s="787">
        <f t="shared" si="1"/>
        <v>8</v>
      </c>
      <c r="AS11" s="518" t="s">
        <v>415</v>
      </c>
      <c r="AT11" s="518">
        <f t="shared" si="2"/>
        <v>9.2200000000000006</v>
      </c>
      <c r="AU11" s="788">
        <f t="shared" si="72"/>
        <v>27006618.860604845</v>
      </c>
      <c r="AV11" s="788">
        <f t="shared" si="99"/>
        <v>69166.951637437975</v>
      </c>
      <c r="AW11" s="789">
        <f t="shared" si="3"/>
        <v>72134.051808237797</v>
      </c>
      <c r="AX11" s="790">
        <f t="shared" si="4"/>
        <v>18.222331461311715</v>
      </c>
      <c r="AY11" s="358">
        <f t="shared" si="108"/>
        <v>1314450.6016971408</v>
      </c>
      <c r="AZ11" s="35">
        <f t="shared" si="73"/>
        <v>3.6636222669313601E-2</v>
      </c>
      <c r="BA11" s="55">
        <f t="shared" si="5"/>
        <v>4.8671420000000003</v>
      </c>
      <c r="BL11" s="338">
        <f t="shared" si="100"/>
        <v>8</v>
      </c>
      <c r="BM11" s="322">
        <f t="shared" si="6"/>
        <v>8</v>
      </c>
      <c r="BN11" s="518" t="s">
        <v>415</v>
      </c>
      <c r="BO11" s="659">
        <f t="shared" si="7"/>
        <v>3.6636222669313601E-2</v>
      </c>
      <c r="BP11" s="358">
        <f t="shared" si="74"/>
        <v>287799.47163563315</v>
      </c>
      <c r="BQ11" s="659">
        <f t="shared" si="8"/>
        <v>1.2330115073299303E-2</v>
      </c>
      <c r="BR11" s="358">
        <f t="shared" si="75"/>
        <v>96860.438788477884</v>
      </c>
      <c r="BS11" s="809">
        <f t="shared" si="9"/>
        <v>384659.91042411106</v>
      </c>
      <c r="BT11" s="810">
        <f t="shared" si="10"/>
        <v>1.4243170000000001</v>
      </c>
      <c r="BW11" s="1"/>
      <c r="BX11" s="10"/>
      <c r="BY11" s="10"/>
      <c r="BZ11" s="10"/>
      <c r="CA11" s="10"/>
      <c r="CB11" s="10"/>
      <c r="CC11" s="10"/>
      <c r="CD11" s="10"/>
      <c r="CE11" s="10"/>
      <c r="CI11" s="734">
        <f t="shared" si="101"/>
        <v>8</v>
      </c>
      <c r="CJ11" s="146">
        <f t="shared" si="12"/>
        <v>8</v>
      </c>
      <c r="CK11" s="518" t="s">
        <v>415</v>
      </c>
      <c r="CL11" s="344">
        <f t="shared" si="13"/>
        <v>1.2330115073299303E-2</v>
      </c>
      <c r="CM11" s="20">
        <f t="shared" si="14"/>
        <v>66018.396866941068</v>
      </c>
      <c r="CN11" s="344">
        <f t="shared" si="15"/>
        <v>4.2643637705715214E-2</v>
      </c>
      <c r="CO11" s="20">
        <f t="shared" si="16"/>
        <v>742047.3953324391</v>
      </c>
      <c r="CP11" s="20">
        <f t="shared" si="17"/>
        <v>808065.79219938023</v>
      </c>
      <c r="CQ11" s="344">
        <f t="shared" si="18"/>
        <v>3.5510996353919758E-2</v>
      </c>
      <c r="CR11" s="342">
        <f t="shared" si="19"/>
        <v>2.9921030000000002</v>
      </c>
      <c r="DC11" s="2" t="s">
        <v>456</v>
      </c>
      <c r="DD11" s="5">
        <v>0.70758002106159879</v>
      </c>
      <c r="DE11" s="1"/>
      <c r="DH11" s="734">
        <v>8</v>
      </c>
      <c r="DI11" s="745">
        <f t="shared" si="20"/>
        <v>8</v>
      </c>
      <c r="DJ11" s="518" t="s">
        <v>415</v>
      </c>
      <c r="DK11" s="344">
        <f t="shared" si="21"/>
        <v>3.5510996353919758E-2</v>
      </c>
      <c r="DL11" s="20">
        <f t="shared" si="77"/>
        <v>11148.899768783403</v>
      </c>
      <c r="DM11" s="344">
        <f t="shared" si="22"/>
        <v>4.2643637705715214E-2</v>
      </c>
      <c r="DN11" s="20">
        <f t="shared" si="23"/>
        <v>82856.613314413742</v>
      </c>
      <c r="DO11" s="344">
        <f t="shared" si="24"/>
        <v>1.2330115073299303E-2</v>
      </c>
      <c r="DP11" s="20">
        <f t="shared" si="25"/>
        <v>39887.961224879662</v>
      </c>
      <c r="DQ11" s="20">
        <f t="shared" si="78"/>
        <v>133893.47430807681</v>
      </c>
      <c r="DR11" s="344">
        <f t="shared" si="26"/>
        <v>2.437990697295549E-2</v>
      </c>
      <c r="DS11" s="342">
        <f t="shared" si="27"/>
        <v>0.49578</v>
      </c>
      <c r="DW11" s="734">
        <f t="shared" si="102"/>
        <v>8</v>
      </c>
      <c r="DX11" s="745">
        <f t="shared" si="28"/>
        <v>8</v>
      </c>
      <c r="DY11" s="518" t="s">
        <v>415</v>
      </c>
      <c r="DZ11" s="344">
        <f t="shared" si="29"/>
        <v>4.2643637705715214E-2</v>
      </c>
      <c r="EA11" s="20">
        <f t="shared" si="30"/>
        <v>152415.76998191496</v>
      </c>
      <c r="EB11" s="342">
        <f t="shared" si="31"/>
        <v>0.56436500000000001</v>
      </c>
      <c r="EH11" s="4"/>
      <c r="EI11" s="4"/>
      <c r="EJ11" s="4"/>
      <c r="EN11" s="734">
        <f t="shared" si="103"/>
        <v>8</v>
      </c>
      <c r="EO11" s="745">
        <f t="shared" si="32"/>
        <v>8</v>
      </c>
      <c r="EP11" s="518" t="s">
        <v>415</v>
      </c>
      <c r="EQ11" s="344">
        <f t="shared" si="33"/>
        <v>3.3490556320197734E-2</v>
      </c>
      <c r="ER11" s="20">
        <f t="shared" si="34"/>
        <v>238217.20048453414</v>
      </c>
      <c r="ES11" s="344">
        <f t="shared" si="35"/>
        <v>3.5510996353919758E-2</v>
      </c>
      <c r="ET11" s="20">
        <f t="shared" si="36"/>
        <v>34055.905269183502</v>
      </c>
      <c r="EU11" s="344">
        <f t="shared" si="37"/>
        <v>1.2330115073299303E-2</v>
      </c>
      <c r="EV11" s="20">
        <f t="shared" si="38"/>
        <v>31680.77506320224</v>
      </c>
      <c r="EW11" s="20">
        <f t="shared" si="39"/>
        <v>303953.8808169199</v>
      </c>
      <c r="EX11" s="344">
        <f t="shared" si="40"/>
        <v>2.8563409496179928E-2</v>
      </c>
      <c r="EY11" s="342">
        <f t="shared" si="41"/>
        <v>1.1254789999999999</v>
      </c>
      <c r="FI11" s="734">
        <f t="shared" si="104"/>
        <v>8</v>
      </c>
      <c r="FJ11" s="735">
        <f t="shared" si="42"/>
        <v>8</v>
      </c>
      <c r="FK11" s="518" t="s">
        <v>415</v>
      </c>
      <c r="FL11" s="344">
        <f t="shared" si="43"/>
        <v>3.3490556320197734E-2</v>
      </c>
      <c r="FM11" s="20">
        <f t="shared" si="44"/>
        <v>629409.07562330563</v>
      </c>
      <c r="FN11" s="342">
        <f t="shared" si="45"/>
        <v>2.3305729999999998</v>
      </c>
      <c r="FR11" s="734">
        <f t="shared" si="105"/>
        <v>8</v>
      </c>
      <c r="FS11" s="735">
        <v>8</v>
      </c>
      <c r="FT11" s="518" t="s">
        <v>415</v>
      </c>
      <c r="FU11" s="20">
        <f t="shared" si="46"/>
        <v>1314450.6016971408</v>
      </c>
      <c r="FV11" s="20">
        <f t="shared" si="47"/>
        <v>384659.91042411106</v>
      </c>
      <c r="FW11" s="20">
        <f t="shared" si="48"/>
        <v>808065.79219938023</v>
      </c>
      <c r="FX11" s="20">
        <f t="shared" si="49"/>
        <v>133893.47430807681</v>
      </c>
      <c r="FY11" s="20">
        <f t="shared" si="50"/>
        <v>152415.76998191496</v>
      </c>
      <c r="FZ11" s="20">
        <f t="shared" si="51"/>
        <v>303953.8808169199</v>
      </c>
      <c r="GA11" s="20">
        <f t="shared" si="52"/>
        <v>629409.07562330563</v>
      </c>
      <c r="GB11" s="20">
        <f t="shared" si="53"/>
        <v>3726848.5050508492</v>
      </c>
      <c r="GC11" s="414">
        <f t="shared" si="54"/>
        <v>13.799759999999999</v>
      </c>
      <c r="GG11" s="734">
        <f t="shared" si="79"/>
        <v>8</v>
      </c>
      <c r="GH11" s="735">
        <f t="shared" si="55"/>
        <v>8</v>
      </c>
      <c r="GI11" s="518" t="s">
        <v>415</v>
      </c>
      <c r="GJ11" s="342">
        <f t="shared" si="56"/>
        <v>4.8671420000000003</v>
      </c>
      <c r="GK11" s="342">
        <f t="shared" si="57"/>
        <v>1.4243170000000001</v>
      </c>
      <c r="GL11" s="342">
        <f t="shared" si="58"/>
        <v>2.9921030000000002</v>
      </c>
      <c r="GM11" s="342">
        <f t="shared" si="59"/>
        <v>0.49578</v>
      </c>
      <c r="GN11" s="342">
        <f t="shared" si="60"/>
        <v>0.56436500000000001</v>
      </c>
      <c r="GO11" s="342">
        <f t="shared" si="61"/>
        <v>1.1254789999999999</v>
      </c>
      <c r="GP11" s="342">
        <f t="shared" si="62"/>
        <v>2.3305729999999998</v>
      </c>
      <c r="GQ11" s="342">
        <f t="shared" si="63"/>
        <v>13.799759999999999</v>
      </c>
      <c r="GR11" s="788">
        <f t="shared" si="80"/>
        <v>27006618.860604845</v>
      </c>
      <c r="GS11" s="716"/>
      <c r="GV11" s="718">
        <f t="shared" si="81"/>
        <v>8</v>
      </c>
      <c r="GW11" s="735">
        <v>8</v>
      </c>
      <c r="GX11" s="518" t="s">
        <v>415</v>
      </c>
      <c r="GY11" s="322" t="s">
        <v>397</v>
      </c>
      <c r="GZ11" s="924">
        <f t="shared" si="82"/>
        <v>3726848.5050508492</v>
      </c>
      <c r="HA11" s="788">
        <f t="shared" si="83"/>
        <v>27006618.860604845</v>
      </c>
      <c r="HB11" s="922">
        <f t="shared" si="109"/>
        <v>13.799759999999999</v>
      </c>
      <c r="HC11" s="942">
        <f t="shared" si="85"/>
        <v>3726848.5868782033</v>
      </c>
      <c r="HD11" s="858">
        <v>7.107064500451088E-2</v>
      </c>
      <c r="HE11" s="54"/>
      <c r="HH11" s="54"/>
      <c r="HI11" s="54"/>
      <c r="HJ11" s="54"/>
      <c r="HK11" s="54"/>
      <c r="HL11" s="54"/>
      <c r="HM11" s="54"/>
      <c r="HN11" s="54"/>
      <c r="HQ11" s="734">
        <v>8</v>
      </c>
      <c r="HR11" s="869">
        <v>8</v>
      </c>
      <c r="HS11" s="518" t="s">
        <v>415</v>
      </c>
      <c r="HT11" s="788">
        <f t="shared" si="86"/>
        <v>27006618.860604845</v>
      </c>
      <c r="HU11" s="917">
        <f t="shared" si="87"/>
        <v>13.799759999999999</v>
      </c>
      <c r="HV11" s="870"/>
      <c r="HW11" s="768"/>
      <c r="HX11" s="870">
        <v>-2.8347379999999998</v>
      </c>
      <c r="HY11" s="769">
        <v>25</v>
      </c>
      <c r="IP11" s="734">
        <v>8</v>
      </c>
      <c r="IQ11" s="869">
        <v>8</v>
      </c>
      <c r="IR11" s="518" t="s">
        <v>415</v>
      </c>
      <c r="IS11" s="913">
        <f t="shared" si="106"/>
        <v>3726848.5868782033</v>
      </c>
      <c r="IT11" s="915">
        <f t="shared" si="88"/>
        <v>27006618.860604845</v>
      </c>
      <c r="IU11" s="919">
        <f t="shared" si="89"/>
        <v>13.799759999999999</v>
      </c>
      <c r="IV11" s="904">
        <f t="shared" si="110"/>
        <v>3972578.3844689573</v>
      </c>
      <c r="IW11" s="904">
        <f t="shared" si="91"/>
        <v>23034040.476135887</v>
      </c>
      <c r="IX11" s="913">
        <f t="shared" si="111"/>
        <v>59588.675767034358</v>
      </c>
      <c r="IY11" s="882">
        <f t="shared" si="93"/>
        <v>3667259.911111169</v>
      </c>
      <c r="IZ11" s="928">
        <f t="shared" si="112"/>
        <v>13.57911529036566</v>
      </c>
      <c r="JA11" s="928">
        <f t="shared" si="113"/>
        <v>15.07911529036566</v>
      </c>
      <c r="JB11" s="913">
        <f t="shared" si="107"/>
        <v>3726848.5868782033</v>
      </c>
      <c r="JC11" s="883">
        <v>0.22223335000653854</v>
      </c>
      <c r="JG11" s="734">
        <v>8</v>
      </c>
      <c r="JH11" s="869">
        <v>8</v>
      </c>
      <c r="JI11" s="518" t="s">
        <v>415</v>
      </c>
      <c r="JJ11" s="788">
        <f t="shared" si="96"/>
        <v>27006618.860604845</v>
      </c>
      <c r="JK11" s="917">
        <f t="shared" si="97"/>
        <v>13.57911529036566</v>
      </c>
      <c r="JL11" s="870">
        <v>16.465</v>
      </c>
      <c r="JM11" s="768"/>
      <c r="JN11" s="870"/>
      <c r="JO11" s="769">
        <v>25</v>
      </c>
      <c r="JT11" s="936">
        <v>7.8380709265402579</v>
      </c>
      <c r="JU11" s="936">
        <f t="shared" si="64"/>
        <v>3.5589363825403453E-2</v>
      </c>
      <c r="JV11" s="13">
        <v>123957514</v>
      </c>
      <c r="JW11" s="13">
        <f t="shared" si="65"/>
        <v>-768402.44118867815</v>
      </c>
    </row>
    <row r="12" spans="1:294" x14ac:dyDescent="0.3">
      <c r="B12" s="756">
        <v>9</v>
      </c>
      <c r="C12" s="764" t="s">
        <v>401</v>
      </c>
      <c r="D12" s="379">
        <v>-204693.58767693696</v>
      </c>
      <c r="E12" s="765">
        <v>-1.8210767238753768E-3</v>
      </c>
      <c r="F12" s="766">
        <v>-9.4206572898044259E-3</v>
      </c>
      <c r="J12" s="756">
        <v>9</v>
      </c>
      <c r="K12" s="757">
        <v>9</v>
      </c>
      <c r="L12" s="732" t="s">
        <v>416</v>
      </c>
      <c r="M12" s="904">
        <v>123189111.55881132</v>
      </c>
      <c r="N12" s="944">
        <f t="shared" si="66"/>
        <v>5.6243098372945693E-2</v>
      </c>
      <c r="O12" s="753">
        <v>872.65582457349649</v>
      </c>
      <c r="P12" s="948">
        <f t="shared" si="67"/>
        <v>141165.74723949045</v>
      </c>
      <c r="Q12" s="733">
        <f t="shared" si="68"/>
        <v>8.0702789217622667E-2</v>
      </c>
      <c r="R12" s="758" t="s">
        <v>397</v>
      </c>
      <c r="V12" s="730">
        <f t="shared" si="98"/>
        <v>9</v>
      </c>
      <c r="W12" s="731">
        <f t="shared" si="0"/>
        <v>9</v>
      </c>
      <c r="X12" s="732" t="s">
        <v>416</v>
      </c>
      <c r="Y12" s="924">
        <f t="shared" si="69"/>
        <v>7443153.1980421022</v>
      </c>
      <c r="Z12" s="944">
        <f t="shared" si="70"/>
        <v>8.9234519757179054E-2</v>
      </c>
      <c r="AD12" s="730">
        <v>9</v>
      </c>
      <c r="AE12" s="746">
        <v>9</v>
      </c>
      <c r="AF12" s="747" t="s">
        <v>416</v>
      </c>
      <c r="AG12" s="748">
        <v>5.86</v>
      </c>
      <c r="AQ12" s="730">
        <f t="shared" si="71"/>
        <v>9</v>
      </c>
      <c r="AR12" s="783">
        <f t="shared" si="1"/>
        <v>9</v>
      </c>
      <c r="AS12" s="732" t="s">
        <v>416</v>
      </c>
      <c r="AT12" s="732">
        <f t="shared" si="2"/>
        <v>5.86</v>
      </c>
      <c r="AU12" s="784">
        <f t="shared" si="72"/>
        <v>123189111.55881132</v>
      </c>
      <c r="AV12" s="784">
        <f t="shared" si="99"/>
        <v>200524.49825962065</v>
      </c>
      <c r="AW12" s="785">
        <f>AV12*$AM$5/$AV$28</f>
        <v>209126.52941684786</v>
      </c>
      <c r="AX12" s="786">
        <f t="shared" si="4"/>
        <v>18.222331461311715</v>
      </c>
      <c r="AY12" s="379">
        <f t="shared" si="108"/>
        <v>3810772.9363875566</v>
      </c>
      <c r="AZ12" s="51">
        <f t="shared" si="73"/>
        <v>0.10621344435418827</v>
      </c>
      <c r="BA12" s="53">
        <f t="shared" si="5"/>
        <v>3.0934330000000001</v>
      </c>
      <c r="BL12" s="756">
        <f t="shared" si="100"/>
        <v>9</v>
      </c>
      <c r="BM12" s="758">
        <f t="shared" si="6"/>
        <v>9</v>
      </c>
      <c r="BN12" s="732" t="s">
        <v>416</v>
      </c>
      <c r="BO12" s="733">
        <f t="shared" si="7"/>
        <v>0.10621344435418827</v>
      </c>
      <c r="BP12" s="379">
        <f t="shared" si="74"/>
        <v>834370.21992280672</v>
      </c>
      <c r="BQ12" s="733">
        <f t="shared" si="8"/>
        <v>5.6243098372945693E-2</v>
      </c>
      <c r="BR12" s="379">
        <f t="shared" si="75"/>
        <v>441823.22345263703</v>
      </c>
      <c r="BS12" s="807">
        <f t="shared" si="9"/>
        <v>1276193.4433754438</v>
      </c>
      <c r="BT12" s="808">
        <f t="shared" si="10"/>
        <v>1.035963</v>
      </c>
      <c r="BW12" s="1"/>
      <c r="BX12" s="10"/>
      <c r="BY12" s="10"/>
      <c r="BZ12" s="10"/>
      <c r="CA12" s="10"/>
      <c r="CB12" s="10"/>
      <c r="CC12" s="10"/>
      <c r="CD12" s="10"/>
      <c r="CE12" s="10"/>
      <c r="CI12" s="730">
        <f t="shared" si="101"/>
        <v>9</v>
      </c>
      <c r="CJ12" s="746">
        <f t="shared" si="12"/>
        <v>9</v>
      </c>
      <c r="CK12" s="732" t="s">
        <v>416</v>
      </c>
      <c r="CL12" s="733">
        <f t="shared" si="13"/>
        <v>5.6243098372945693E-2</v>
      </c>
      <c r="CM12" s="379">
        <f t="shared" si="14"/>
        <v>301139.05404274439</v>
      </c>
      <c r="CN12" s="733">
        <f t="shared" si="15"/>
        <v>8.0702789217622667E-2</v>
      </c>
      <c r="CO12" s="379">
        <f t="shared" si="16"/>
        <v>1404319.5598900269</v>
      </c>
      <c r="CP12" s="379">
        <f t="shared" si="17"/>
        <v>1705458.6139327714</v>
      </c>
      <c r="CQ12" s="733">
        <f t="shared" si="18"/>
        <v>7.4947529280121578E-2</v>
      </c>
      <c r="CR12" s="808">
        <f t="shared" si="19"/>
        <v>1.384423</v>
      </c>
      <c r="DD12" s="5">
        <v>5.716652409656231E-2</v>
      </c>
      <c r="DE12" s="1"/>
      <c r="DH12" s="730">
        <v>9</v>
      </c>
      <c r="DI12" s="840">
        <f t="shared" si="20"/>
        <v>9</v>
      </c>
      <c r="DJ12" s="732" t="s">
        <v>416</v>
      </c>
      <c r="DK12" s="733">
        <f t="shared" si="21"/>
        <v>7.4947529280121578E-2</v>
      </c>
      <c r="DL12" s="379">
        <f t="shared" si="77"/>
        <v>23530.24633649295</v>
      </c>
      <c r="DM12" s="733">
        <f t="shared" si="22"/>
        <v>8.0702789217622667E-2</v>
      </c>
      <c r="DN12" s="379">
        <f t="shared" si="23"/>
        <v>156805.56723947177</v>
      </c>
      <c r="DO12" s="733">
        <f t="shared" si="24"/>
        <v>5.6243098372945693E-2</v>
      </c>
      <c r="DP12" s="379">
        <f t="shared" si="25"/>
        <v>181946.60096281269</v>
      </c>
      <c r="DQ12" s="379">
        <f t="shared" si="78"/>
        <v>362282.41453877743</v>
      </c>
      <c r="DR12" s="733">
        <f t="shared" si="26"/>
        <v>6.5965959954631614E-2</v>
      </c>
      <c r="DS12" s="808">
        <f t="shared" si="27"/>
        <v>0.29408600000000001</v>
      </c>
      <c r="DW12" s="730">
        <f t="shared" si="102"/>
        <v>9</v>
      </c>
      <c r="DX12" s="840">
        <f t="shared" si="28"/>
        <v>9</v>
      </c>
      <c r="DY12" s="732" t="s">
        <v>416</v>
      </c>
      <c r="DZ12" s="733">
        <f t="shared" si="29"/>
        <v>8.0702789217622667E-2</v>
      </c>
      <c r="EA12" s="379">
        <f t="shared" si="30"/>
        <v>288445.7898075523</v>
      </c>
      <c r="EB12" s="808">
        <f t="shared" si="31"/>
        <v>0.234149</v>
      </c>
      <c r="EN12" s="730">
        <f t="shared" si="103"/>
        <v>9</v>
      </c>
      <c r="EO12" s="840">
        <f t="shared" si="32"/>
        <v>9</v>
      </c>
      <c r="EP12" s="732" t="s">
        <v>416</v>
      </c>
      <c r="EQ12" s="733">
        <f t="shared" si="33"/>
        <v>8.9234519757179054E-2</v>
      </c>
      <c r="ER12" s="379">
        <f t="shared" si="34"/>
        <v>634722.13718698663</v>
      </c>
      <c r="ES12" s="733">
        <f t="shared" si="35"/>
        <v>7.4947529280121578E-2</v>
      </c>
      <c r="ET12" s="379">
        <f t="shared" si="36"/>
        <v>71876.495153350974</v>
      </c>
      <c r="EU12" s="733">
        <f t="shared" si="37"/>
        <v>5.6243098372945693E-2</v>
      </c>
      <c r="EV12" s="379">
        <f t="shared" si="38"/>
        <v>144510.00155459749</v>
      </c>
      <c r="EW12" s="379">
        <f t="shared" si="39"/>
        <v>851108.63389493513</v>
      </c>
      <c r="EX12" s="733">
        <f t="shared" si="40"/>
        <v>7.9981095718656942E-2</v>
      </c>
      <c r="EY12" s="808">
        <f t="shared" si="41"/>
        <v>0.69089599999999995</v>
      </c>
      <c r="FI12" s="730">
        <f t="shared" si="104"/>
        <v>9</v>
      </c>
      <c r="FJ12" s="731">
        <f t="shared" si="42"/>
        <v>9</v>
      </c>
      <c r="FK12" s="732" t="s">
        <v>416</v>
      </c>
      <c r="FL12" s="733">
        <f t="shared" si="43"/>
        <v>8.9234519757179054E-2</v>
      </c>
      <c r="FM12" s="379">
        <f t="shared" si="44"/>
        <v>1677040.4187100127</v>
      </c>
      <c r="FN12" s="808">
        <f t="shared" si="45"/>
        <v>1.361354</v>
      </c>
      <c r="FR12" s="730">
        <f t="shared" si="105"/>
        <v>9</v>
      </c>
      <c r="FS12" s="731">
        <v>9</v>
      </c>
      <c r="FT12" s="732" t="s">
        <v>416</v>
      </c>
      <c r="FU12" s="379">
        <f t="shared" si="46"/>
        <v>3810772.9363875566</v>
      </c>
      <c r="FV12" s="379">
        <f t="shared" si="47"/>
        <v>1276193.4433754438</v>
      </c>
      <c r="FW12" s="379">
        <f t="shared" si="48"/>
        <v>1705458.6139327714</v>
      </c>
      <c r="FX12" s="379">
        <f t="shared" si="49"/>
        <v>362282.41453877743</v>
      </c>
      <c r="FY12" s="379">
        <f t="shared" si="50"/>
        <v>288445.7898075523</v>
      </c>
      <c r="FZ12" s="379">
        <f t="shared" si="51"/>
        <v>851108.63389493513</v>
      </c>
      <c r="GA12" s="379">
        <f t="shared" si="52"/>
        <v>1677040.4187100127</v>
      </c>
      <c r="GB12" s="379">
        <f t="shared" si="53"/>
        <v>9971302.2506470494</v>
      </c>
      <c r="GC12" s="852">
        <f t="shared" si="54"/>
        <v>8.0943050000000003</v>
      </c>
      <c r="GG12" s="730">
        <f t="shared" si="79"/>
        <v>9</v>
      </c>
      <c r="GH12" s="731">
        <f t="shared" si="55"/>
        <v>9</v>
      </c>
      <c r="GI12" s="732" t="s">
        <v>416</v>
      </c>
      <c r="GJ12" s="808">
        <f t="shared" si="56"/>
        <v>3.0934330000000001</v>
      </c>
      <c r="GK12" s="808">
        <f t="shared" si="57"/>
        <v>1.035963</v>
      </c>
      <c r="GL12" s="808">
        <f t="shared" si="58"/>
        <v>1.384423</v>
      </c>
      <c r="GM12" s="808">
        <f t="shared" si="59"/>
        <v>0.29408600000000001</v>
      </c>
      <c r="GN12" s="808">
        <f t="shared" si="60"/>
        <v>0.234149</v>
      </c>
      <c r="GO12" s="808">
        <f t="shared" si="61"/>
        <v>0.69089599999999995</v>
      </c>
      <c r="GP12" s="808">
        <f t="shared" si="62"/>
        <v>1.361354</v>
      </c>
      <c r="GQ12" s="808">
        <f t="shared" si="63"/>
        <v>8.0943050000000003</v>
      </c>
      <c r="GR12" s="784">
        <f t="shared" si="80"/>
        <v>123189111.55881132</v>
      </c>
      <c r="GS12" s="716"/>
      <c r="GV12" s="717">
        <f t="shared" si="81"/>
        <v>9</v>
      </c>
      <c r="GW12" s="731">
        <v>9</v>
      </c>
      <c r="GX12" s="732" t="s">
        <v>416</v>
      </c>
      <c r="GY12" s="758" t="s">
        <v>397</v>
      </c>
      <c r="GZ12" s="906">
        <f t="shared" si="82"/>
        <v>9971302.2506470494</v>
      </c>
      <c r="HA12" s="784">
        <f t="shared" si="83"/>
        <v>123189111.55881132</v>
      </c>
      <c r="HB12" s="922">
        <f t="shared" si="109"/>
        <v>8.0943050000000003</v>
      </c>
      <c r="HC12" s="942">
        <f t="shared" si="85"/>
        <v>9971302.4163604435</v>
      </c>
      <c r="HD12" s="857">
        <v>-0.42028257809579372</v>
      </c>
      <c r="HE12" s="54"/>
      <c r="HH12" s="54"/>
      <c r="HI12" s="54"/>
      <c r="HJ12" s="54"/>
      <c r="HK12" s="54"/>
      <c r="HL12" s="54"/>
      <c r="HM12" s="54"/>
      <c r="HN12" s="54"/>
      <c r="HQ12" s="730">
        <v>9</v>
      </c>
      <c r="HR12" s="867">
        <v>9</v>
      </c>
      <c r="HS12" s="732" t="s">
        <v>416</v>
      </c>
      <c r="HT12" s="784">
        <f t="shared" si="86"/>
        <v>123189111.55881132</v>
      </c>
      <c r="HU12" s="917">
        <f t="shared" si="87"/>
        <v>8.0943050000000003</v>
      </c>
      <c r="HV12" s="868"/>
      <c r="HW12" s="765"/>
      <c r="HX12" s="868">
        <v>-1.9628369999999986</v>
      </c>
      <c r="HY12" s="766">
        <v>10</v>
      </c>
      <c r="IP12" s="730">
        <v>9</v>
      </c>
      <c r="IQ12" s="867">
        <v>9</v>
      </c>
      <c r="IR12" s="732" t="s">
        <v>416</v>
      </c>
      <c r="IS12" s="913">
        <f t="shared" si="106"/>
        <v>9971302.4163604435</v>
      </c>
      <c r="IT12" s="915">
        <f t="shared" si="88"/>
        <v>123189111.55881132</v>
      </c>
      <c r="IU12" s="918">
        <f t="shared" si="89"/>
        <v>8.0943050000000003</v>
      </c>
      <c r="IV12" s="904">
        <f t="shared" si="110"/>
        <v>18120683.833337463</v>
      </c>
      <c r="IW12" s="904">
        <f t="shared" si="91"/>
        <v>105068427.72547385</v>
      </c>
      <c r="IX12" s="913">
        <f t="shared" si="111"/>
        <v>271810.25750006194</v>
      </c>
      <c r="IY12" s="881">
        <f t="shared" si="93"/>
        <v>9699492.1588603817</v>
      </c>
      <c r="IZ12" s="928">
        <f t="shared" si="112"/>
        <v>7.8736602903656614</v>
      </c>
      <c r="JA12" s="928">
        <f t="shared" si="113"/>
        <v>9.3736602903656614</v>
      </c>
      <c r="JB12" s="913">
        <f t="shared" si="107"/>
        <v>9971302.4163604435</v>
      </c>
      <c r="JC12" s="852">
        <v>0.22223273298532753</v>
      </c>
      <c r="JG12" s="730">
        <v>9</v>
      </c>
      <c r="JH12" s="867">
        <v>9</v>
      </c>
      <c r="JI12" s="732" t="s">
        <v>416</v>
      </c>
      <c r="JJ12" s="784">
        <f t="shared" si="96"/>
        <v>123189111.55881132</v>
      </c>
      <c r="JK12" s="917">
        <f t="shared" si="97"/>
        <v>7.8736602903656614</v>
      </c>
      <c r="JL12" s="868">
        <v>9.8640000000000008</v>
      </c>
      <c r="JM12" s="765"/>
      <c r="JN12" s="868"/>
      <c r="JO12" s="766">
        <v>10</v>
      </c>
      <c r="JT12" s="936">
        <v>15.840565926540259</v>
      </c>
      <c r="JU12" s="936">
        <f t="shared" si="64"/>
        <v>7.4882363825398812E-2</v>
      </c>
      <c r="JV12" s="13">
        <v>5199119</v>
      </c>
      <c r="JW12" s="13">
        <f t="shared" si="65"/>
        <v>-85771.867323913611</v>
      </c>
    </row>
    <row r="13" spans="1:294" x14ac:dyDescent="0.3">
      <c r="B13" s="771">
        <v>10</v>
      </c>
      <c r="C13" s="772" t="s">
        <v>299</v>
      </c>
      <c r="D13" s="907">
        <f>'DCA 3 month Phase I'!MZ25</f>
        <v>112845140.34854272</v>
      </c>
      <c r="E13" s="773">
        <v>1</v>
      </c>
      <c r="F13" s="774">
        <v>5.1731248696411978</v>
      </c>
      <c r="J13" s="338">
        <v>10</v>
      </c>
      <c r="K13" s="759">
        <v>10</v>
      </c>
      <c r="L13" s="518" t="s">
        <v>417</v>
      </c>
      <c r="M13" s="904">
        <v>5113347.1326760864</v>
      </c>
      <c r="N13" s="943">
        <f t="shared" si="66"/>
        <v>2.3345446862876617E-3</v>
      </c>
      <c r="O13" s="455">
        <v>354.12272108843536</v>
      </c>
      <c r="P13" s="948">
        <f t="shared" si="67"/>
        <v>14439.47769564079</v>
      </c>
      <c r="Q13" s="659">
        <f t="shared" si="68"/>
        <v>8.2548787341939107E-3</v>
      </c>
      <c r="R13" s="322" t="s">
        <v>397</v>
      </c>
      <c r="V13" s="734">
        <f t="shared" si="98"/>
        <v>10</v>
      </c>
      <c r="W13" s="735">
        <f t="shared" si="0"/>
        <v>10</v>
      </c>
      <c r="X13" s="518" t="s">
        <v>417</v>
      </c>
      <c r="Y13" s="924">
        <f t="shared" si="69"/>
        <v>619961.97608893341</v>
      </c>
      <c r="Z13" s="943">
        <f t="shared" si="70"/>
        <v>7.432603861836402E-3</v>
      </c>
      <c r="AD13" s="734">
        <v>10</v>
      </c>
      <c r="AE13" s="146">
        <v>10</v>
      </c>
      <c r="AF13" s="347" t="s">
        <v>417</v>
      </c>
      <c r="AG13" s="369">
        <v>11.86</v>
      </c>
      <c r="AQ13" s="734">
        <f t="shared" si="71"/>
        <v>10</v>
      </c>
      <c r="AR13" s="787">
        <f t="shared" si="1"/>
        <v>10</v>
      </c>
      <c r="AS13" s="518" t="s">
        <v>417</v>
      </c>
      <c r="AT13" s="518">
        <f t="shared" si="2"/>
        <v>11.86</v>
      </c>
      <c r="AU13" s="788">
        <f t="shared" si="72"/>
        <v>5113347.1326760864</v>
      </c>
      <c r="AV13" s="788">
        <f t="shared" si="99"/>
        <v>16845.63805376066</v>
      </c>
      <c r="AW13" s="789">
        <f t="shared" si="3"/>
        <v>17568.276457843385</v>
      </c>
      <c r="AX13" s="790">
        <f t="shared" si="4"/>
        <v>18.222331461311715</v>
      </c>
      <c r="AY13" s="358">
        <f t="shared" si="108"/>
        <v>320134.95681878144</v>
      </c>
      <c r="AZ13" s="35">
        <f t="shared" si="73"/>
        <v>8.9227663231320978E-3</v>
      </c>
      <c r="BA13" s="55">
        <f t="shared" si="5"/>
        <v>6.2607710000000001</v>
      </c>
      <c r="BL13" s="338">
        <f t="shared" si="100"/>
        <v>10</v>
      </c>
      <c r="BM13" s="322">
        <f t="shared" si="6"/>
        <v>10</v>
      </c>
      <c r="BN13" s="518" t="s">
        <v>417</v>
      </c>
      <c r="BO13" s="659">
        <f t="shared" si="7"/>
        <v>8.9227663231320978E-3</v>
      </c>
      <c r="BP13" s="358">
        <f t="shared" si="74"/>
        <v>70093.673589241545</v>
      </c>
      <c r="BQ13" s="659">
        <f t="shared" si="8"/>
        <v>2.3345446862876617E-3</v>
      </c>
      <c r="BR13" s="358">
        <f t="shared" si="75"/>
        <v>18339.246741889947</v>
      </c>
      <c r="BS13" s="809">
        <f t="shared" si="9"/>
        <v>88432.920331131492</v>
      </c>
      <c r="BT13" s="810">
        <f t="shared" si="10"/>
        <v>1.7294529999999999</v>
      </c>
      <c r="BW13" s="1"/>
      <c r="BX13" s="10"/>
      <c r="BY13" s="10"/>
      <c r="BZ13" s="10"/>
      <c r="CA13" s="10"/>
      <c r="CB13" s="10"/>
      <c r="CC13" s="10"/>
      <c r="CD13" s="10"/>
      <c r="CE13" s="10"/>
      <c r="CI13" s="734">
        <f t="shared" si="101"/>
        <v>10</v>
      </c>
      <c r="CJ13" s="146">
        <f t="shared" si="12"/>
        <v>10</v>
      </c>
      <c r="CK13" s="518" t="s">
        <v>417</v>
      </c>
      <c r="CL13" s="344">
        <f t="shared" si="13"/>
        <v>2.3345446862876617E-3</v>
      </c>
      <c r="CM13" s="20">
        <f t="shared" si="14"/>
        <v>12499.712832096622</v>
      </c>
      <c r="CN13" s="344">
        <f t="shared" si="15"/>
        <v>8.2548787341939107E-3</v>
      </c>
      <c r="CO13" s="20">
        <f t="shared" si="16"/>
        <v>143644.20094190922</v>
      </c>
      <c r="CP13" s="20">
        <f t="shared" si="17"/>
        <v>156143.91377400584</v>
      </c>
      <c r="CQ13" s="344">
        <f t="shared" si="18"/>
        <v>6.8618496244268259E-3</v>
      </c>
      <c r="CR13" s="342">
        <f t="shared" si="19"/>
        <v>3.0536539999999999</v>
      </c>
      <c r="DD13" s="5">
        <v>0.23525345484183899</v>
      </c>
      <c r="DE13" s="1"/>
      <c r="DH13" s="734">
        <v>10</v>
      </c>
      <c r="DI13" s="745">
        <f t="shared" si="20"/>
        <v>10</v>
      </c>
      <c r="DJ13" s="518" t="s">
        <v>417</v>
      </c>
      <c r="DK13" s="344">
        <f t="shared" si="21"/>
        <v>6.8618496244268259E-3</v>
      </c>
      <c r="DL13" s="20">
        <f t="shared" si="77"/>
        <v>2154.3206765797859</v>
      </c>
      <c r="DM13" s="344">
        <f t="shared" si="22"/>
        <v>8.2548787341939107E-3</v>
      </c>
      <c r="DN13" s="20">
        <f t="shared" si="23"/>
        <v>16039.234268816012</v>
      </c>
      <c r="DO13" s="344">
        <f t="shared" si="24"/>
        <v>2.3345446862876617E-3</v>
      </c>
      <c r="DP13" s="20">
        <f t="shared" si="25"/>
        <v>7552.259437224694</v>
      </c>
      <c r="DQ13" s="20">
        <f t="shared" si="78"/>
        <v>25745.814382620491</v>
      </c>
      <c r="DR13" s="344">
        <f t="shared" si="26"/>
        <v>4.6879100182808811E-3</v>
      </c>
      <c r="DS13" s="342">
        <f t="shared" si="27"/>
        <v>0.50350200000000001</v>
      </c>
      <c r="DW13" s="734">
        <f t="shared" si="102"/>
        <v>10</v>
      </c>
      <c r="DX13" s="745">
        <f t="shared" si="28"/>
        <v>10</v>
      </c>
      <c r="DY13" s="518" t="s">
        <v>417</v>
      </c>
      <c r="DZ13" s="344">
        <f t="shared" si="29"/>
        <v>8.2548787341939107E-3</v>
      </c>
      <c r="EA13" s="20">
        <f t="shared" si="30"/>
        <v>29504.370782394031</v>
      </c>
      <c r="EB13" s="342">
        <f t="shared" si="31"/>
        <v>0.57700700000000005</v>
      </c>
      <c r="EN13" s="734">
        <f t="shared" si="103"/>
        <v>10</v>
      </c>
      <c r="EO13" s="745">
        <f t="shared" si="32"/>
        <v>10</v>
      </c>
      <c r="EP13" s="518" t="s">
        <v>417</v>
      </c>
      <c r="EQ13" s="344">
        <f t="shared" si="33"/>
        <v>7.432603861836402E-3</v>
      </c>
      <c r="ER13" s="20">
        <f t="shared" si="34"/>
        <v>52867.861236732992</v>
      </c>
      <c r="ES13" s="344">
        <f t="shared" si="35"/>
        <v>6.8618496244268259E-3</v>
      </c>
      <c r="ET13" s="20">
        <f t="shared" si="36"/>
        <v>6580.6799238137319</v>
      </c>
      <c r="EU13" s="344">
        <f t="shared" si="37"/>
        <v>2.3345446862876617E-3</v>
      </c>
      <c r="EV13" s="20">
        <f t="shared" si="38"/>
        <v>5998.3369694118446</v>
      </c>
      <c r="EW13" s="20">
        <f t="shared" si="39"/>
        <v>65446.878129958568</v>
      </c>
      <c r="EX13" s="344">
        <f t="shared" si="40"/>
        <v>6.1502290256941101E-3</v>
      </c>
      <c r="EY13" s="342">
        <f t="shared" si="41"/>
        <v>1.279922</v>
      </c>
      <c r="FI13" s="734">
        <f t="shared" si="104"/>
        <v>10</v>
      </c>
      <c r="FJ13" s="735">
        <f t="shared" si="42"/>
        <v>10</v>
      </c>
      <c r="FK13" s="518" t="s">
        <v>417</v>
      </c>
      <c r="FL13" s="344">
        <f t="shared" si="43"/>
        <v>7.432603861836402E-3</v>
      </c>
      <c r="FM13" s="20">
        <f t="shared" si="44"/>
        <v>139685.59618495585</v>
      </c>
      <c r="FN13" s="342">
        <f t="shared" si="45"/>
        <v>2.7317840000000002</v>
      </c>
      <c r="FR13" s="734">
        <f t="shared" si="105"/>
        <v>10</v>
      </c>
      <c r="FS13" s="735">
        <v>10</v>
      </c>
      <c r="FT13" s="518" t="s">
        <v>417</v>
      </c>
      <c r="FU13" s="20">
        <f t="shared" si="46"/>
        <v>320134.95681878144</v>
      </c>
      <c r="FV13" s="20">
        <f t="shared" si="47"/>
        <v>88432.920331131492</v>
      </c>
      <c r="FW13" s="20">
        <f t="shared" si="48"/>
        <v>156143.91377400584</v>
      </c>
      <c r="FX13" s="20">
        <f t="shared" si="49"/>
        <v>25745.814382620491</v>
      </c>
      <c r="FY13" s="20">
        <f t="shared" si="50"/>
        <v>29504.370782394031</v>
      </c>
      <c r="FZ13" s="20">
        <f t="shared" si="51"/>
        <v>65446.878129958568</v>
      </c>
      <c r="GA13" s="20">
        <f t="shared" si="52"/>
        <v>139685.59618495585</v>
      </c>
      <c r="GB13" s="20">
        <f t="shared" si="53"/>
        <v>825094.45040384773</v>
      </c>
      <c r="GC13" s="414">
        <f t="shared" si="54"/>
        <v>16.136092999999999</v>
      </c>
      <c r="GG13" s="734">
        <f t="shared" si="79"/>
        <v>10</v>
      </c>
      <c r="GH13" s="735">
        <f t="shared" si="55"/>
        <v>10</v>
      </c>
      <c r="GI13" s="518" t="s">
        <v>417</v>
      </c>
      <c r="GJ13" s="342">
        <f t="shared" si="56"/>
        <v>6.2607710000000001</v>
      </c>
      <c r="GK13" s="342">
        <f t="shared" si="57"/>
        <v>1.7294529999999999</v>
      </c>
      <c r="GL13" s="342">
        <f t="shared" si="58"/>
        <v>3.0536539999999999</v>
      </c>
      <c r="GM13" s="342">
        <f t="shared" si="59"/>
        <v>0.50350200000000001</v>
      </c>
      <c r="GN13" s="342">
        <f t="shared" si="60"/>
        <v>0.57700700000000005</v>
      </c>
      <c r="GO13" s="342">
        <f t="shared" si="61"/>
        <v>1.279922</v>
      </c>
      <c r="GP13" s="342">
        <f t="shared" si="62"/>
        <v>2.7317840000000002</v>
      </c>
      <c r="GQ13" s="342">
        <f t="shared" si="63"/>
        <v>16.136092999999999</v>
      </c>
      <c r="GR13" s="788">
        <f t="shared" si="80"/>
        <v>5113347.1326760864</v>
      </c>
      <c r="GS13" s="716"/>
      <c r="GV13" s="718">
        <f t="shared" si="81"/>
        <v>10</v>
      </c>
      <c r="GW13" s="735">
        <v>10</v>
      </c>
      <c r="GX13" s="518" t="s">
        <v>417</v>
      </c>
      <c r="GY13" s="322" t="s">
        <v>397</v>
      </c>
      <c r="GZ13" s="924">
        <f t="shared" si="82"/>
        <v>825094.45040384773</v>
      </c>
      <c r="HA13" s="788">
        <f t="shared" si="83"/>
        <v>5113347.1326760864</v>
      </c>
      <c r="HB13" s="922">
        <f t="shared" si="109"/>
        <v>16.136092999999999</v>
      </c>
      <c r="HC13" s="942">
        <f t="shared" si="85"/>
        <v>825094.4487414466</v>
      </c>
      <c r="HD13" s="858">
        <v>2.150618308223784E-2</v>
      </c>
      <c r="HE13" s="54"/>
      <c r="HH13" s="54"/>
      <c r="HI13" s="54"/>
      <c r="HJ13" s="54"/>
      <c r="HK13" s="54"/>
      <c r="HL13" s="54"/>
      <c r="HM13" s="54"/>
      <c r="HN13" s="54"/>
      <c r="HQ13" s="734">
        <v>10</v>
      </c>
      <c r="HR13" s="869">
        <v>10</v>
      </c>
      <c r="HS13" s="518" t="s">
        <v>417</v>
      </c>
      <c r="HT13" s="788">
        <f t="shared" si="86"/>
        <v>5113347.1326760864</v>
      </c>
      <c r="HU13" s="917">
        <f t="shared" si="87"/>
        <v>16.136092999999999</v>
      </c>
      <c r="HV13" s="870"/>
      <c r="HW13" s="768"/>
      <c r="HX13" s="870">
        <v>-3.6744649999999979</v>
      </c>
      <c r="HY13" s="769">
        <v>25</v>
      </c>
      <c r="IP13" s="734">
        <v>10</v>
      </c>
      <c r="IQ13" s="869">
        <v>10</v>
      </c>
      <c r="IR13" s="518" t="s">
        <v>417</v>
      </c>
      <c r="IS13" s="913">
        <f t="shared" si="106"/>
        <v>825094.4487414466</v>
      </c>
      <c r="IT13" s="915">
        <f t="shared" si="88"/>
        <v>5113347.1326760864</v>
      </c>
      <c r="IU13" s="919">
        <f t="shared" si="89"/>
        <v>16.136092999999999</v>
      </c>
      <c r="IV13" s="904">
        <f t="shared" si="110"/>
        <v>752155.32889926538</v>
      </c>
      <c r="IW13" s="904">
        <f t="shared" si="91"/>
        <v>4361191.8037768211</v>
      </c>
      <c r="IX13" s="913">
        <f t="shared" si="111"/>
        <v>11282.32993348898</v>
      </c>
      <c r="IY13" s="882">
        <f t="shared" si="93"/>
        <v>813812.11880795762</v>
      </c>
      <c r="IZ13" s="928">
        <f t="shared" si="112"/>
        <v>15.915448290365658</v>
      </c>
      <c r="JA13" s="928">
        <f t="shared" si="113"/>
        <v>17.41544829036566</v>
      </c>
      <c r="JB13" s="913">
        <f t="shared" si="107"/>
        <v>825094.4487414466</v>
      </c>
      <c r="JC13" s="883">
        <v>0.22223348250775032</v>
      </c>
      <c r="JG13" s="734">
        <v>10</v>
      </c>
      <c r="JH13" s="869">
        <v>10</v>
      </c>
      <c r="JI13" s="518" t="s">
        <v>417</v>
      </c>
      <c r="JJ13" s="788">
        <f t="shared" si="96"/>
        <v>5113347.1326760864</v>
      </c>
      <c r="JK13" s="917">
        <f t="shared" si="97"/>
        <v>15.915448290365658</v>
      </c>
      <c r="JL13" s="870">
        <v>19.646999999999998</v>
      </c>
      <c r="JM13" s="768"/>
      <c r="JN13" s="870"/>
      <c r="JO13" s="769">
        <v>25</v>
      </c>
      <c r="JT13" s="936">
        <v>15.999447926540256</v>
      </c>
      <c r="JU13" s="936">
        <f t="shared" si="64"/>
        <v>8.3943363825401462E-2</v>
      </c>
      <c r="JV13" s="13">
        <v>53040850</v>
      </c>
      <c r="JW13" s="13">
        <f t="shared" si="65"/>
        <v>-1646701.3523227125</v>
      </c>
    </row>
    <row r="14" spans="1:294" x14ac:dyDescent="0.3">
      <c r="D14" s="13"/>
      <c r="F14" s="696"/>
      <c r="J14" s="756">
        <v>11</v>
      </c>
      <c r="K14" s="757">
        <v>11</v>
      </c>
      <c r="L14" s="732" t="s">
        <v>418</v>
      </c>
      <c r="M14" s="904">
        <v>51394148.647677287</v>
      </c>
      <c r="N14" s="944">
        <f t="shared" si="66"/>
        <v>2.3464461441505987E-2</v>
      </c>
      <c r="O14" s="753">
        <v>247.62580071362774</v>
      </c>
      <c r="P14" s="948">
        <f t="shared" si="67"/>
        <v>207547.63235319397</v>
      </c>
      <c r="Q14" s="733">
        <f t="shared" si="68"/>
        <v>0.11865252835024</v>
      </c>
      <c r="R14" s="758" t="s">
        <v>397</v>
      </c>
      <c r="V14" s="730">
        <f t="shared" si="98"/>
        <v>11</v>
      </c>
      <c r="W14" s="731">
        <f t="shared" si="0"/>
        <v>11</v>
      </c>
      <c r="X14" s="732" t="s">
        <v>418</v>
      </c>
      <c r="Y14" s="924">
        <f t="shared" si="69"/>
        <v>6277116.3326073214</v>
      </c>
      <c r="Z14" s="944">
        <f t="shared" si="70"/>
        <v>7.5255129982747263E-2</v>
      </c>
      <c r="AD14" s="730">
        <v>11</v>
      </c>
      <c r="AE14" s="746">
        <v>11</v>
      </c>
      <c r="AF14" s="747" t="s">
        <v>418</v>
      </c>
      <c r="AG14" s="748">
        <v>9.5</v>
      </c>
      <c r="AQ14" s="730">
        <f t="shared" si="71"/>
        <v>11</v>
      </c>
      <c r="AR14" s="783">
        <f t="shared" si="1"/>
        <v>11</v>
      </c>
      <c r="AS14" s="732" t="s">
        <v>418</v>
      </c>
      <c r="AT14" s="732">
        <f t="shared" si="2"/>
        <v>9.5</v>
      </c>
      <c r="AU14" s="784">
        <f t="shared" si="72"/>
        <v>51394148.647677287</v>
      </c>
      <c r="AV14" s="784">
        <f>AU14*AT14/3600</f>
        <v>135623.44782025952</v>
      </c>
      <c r="AW14" s="785">
        <f>AV14*$AM$5/$AV$28</f>
        <v>141441.37597330741</v>
      </c>
      <c r="AX14" s="786">
        <f t="shared" si="4"/>
        <v>18.222331461311715</v>
      </c>
      <c r="AY14" s="379">
        <f t="shared" si="108"/>
        <v>2577391.6353296186</v>
      </c>
      <c r="AZ14" s="51">
        <f t="shared" si="73"/>
        <v>7.1836776320118145E-2</v>
      </c>
      <c r="BA14" s="53">
        <f t="shared" si="5"/>
        <v>5.0149520000000001</v>
      </c>
      <c r="BL14" s="756">
        <f t="shared" si="100"/>
        <v>11</v>
      </c>
      <c r="BM14" s="758">
        <f t="shared" si="6"/>
        <v>11</v>
      </c>
      <c r="BN14" s="732" t="s">
        <v>418</v>
      </c>
      <c r="BO14" s="733">
        <f t="shared" si="7"/>
        <v>7.1836776320118145E-2</v>
      </c>
      <c r="BP14" s="379">
        <f t="shared" si="74"/>
        <v>564320.90326424793</v>
      </c>
      <c r="BQ14" s="733">
        <f t="shared" si="8"/>
        <v>2.3464461441505987E-2</v>
      </c>
      <c r="BR14" s="379">
        <f t="shared" si="75"/>
        <v>184327.3982155495</v>
      </c>
      <c r="BS14" s="807">
        <f t="shared" si="9"/>
        <v>748648.30147979746</v>
      </c>
      <c r="BT14" s="808">
        <f t="shared" si="10"/>
        <v>1.45668</v>
      </c>
      <c r="BW14" s="1"/>
      <c r="BX14" s="10"/>
      <c r="BY14" s="10"/>
      <c r="BZ14" s="10"/>
      <c r="CA14" s="10"/>
      <c r="CB14" s="10"/>
      <c r="CC14" s="10"/>
      <c r="CD14" s="10"/>
      <c r="CE14" s="10"/>
      <c r="CI14" s="730">
        <f t="shared" si="101"/>
        <v>11</v>
      </c>
      <c r="CJ14" s="746">
        <f t="shared" si="12"/>
        <v>11</v>
      </c>
      <c r="CK14" s="732" t="s">
        <v>418</v>
      </c>
      <c r="CL14" s="733">
        <f t="shared" si="13"/>
        <v>2.3464461441505987E-2</v>
      </c>
      <c r="CM14" s="379">
        <f t="shared" si="14"/>
        <v>125634.36095328124</v>
      </c>
      <c r="CN14" s="733">
        <f t="shared" si="15"/>
        <v>0.11865252835024</v>
      </c>
      <c r="CO14" s="379">
        <f t="shared" si="16"/>
        <v>2064687.825637911</v>
      </c>
      <c r="CP14" s="379">
        <f t="shared" si="17"/>
        <v>2190322.1865911921</v>
      </c>
      <c r="CQ14" s="733">
        <f t="shared" si="18"/>
        <v>9.6255186066282583E-2</v>
      </c>
      <c r="CR14" s="808">
        <f t="shared" si="19"/>
        <v>4.2618119999999999</v>
      </c>
      <c r="DE14" s="1"/>
      <c r="DH14" s="730">
        <v>11</v>
      </c>
      <c r="DI14" s="840">
        <f t="shared" si="20"/>
        <v>11</v>
      </c>
      <c r="DJ14" s="732" t="s">
        <v>418</v>
      </c>
      <c r="DK14" s="733">
        <f t="shared" si="21"/>
        <v>9.6255186066282583E-2</v>
      </c>
      <c r="DL14" s="379">
        <f t="shared" si="77"/>
        <v>30219.918669224462</v>
      </c>
      <c r="DM14" s="733">
        <f t="shared" si="22"/>
        <v>0.11865252835024</v>
      </c>
      <c r="DN14" s="379">
        <f t="shared" si="23"/>
        <v>230541.93284677854</v>
      </c>
      <c r="DO14" s="733">
        <f t="shared" si="24"/>
        <v>2.3464461441505987E-2</v>
      </c>
      <c r="DP14" s="379">
        <f t="shared" si="25"/>
        <v>75907.606910195085</v>
      </c>
      <c r="DQ14" s="379">
        <f t="shared" si="78"/>
        <v>336669.45842619811</v>
      </c>
      <c r="DR14" s="733">
        <f t="shared" si="26"/>
        <v>6.1302241348821951E-2</v>
      </c>
      <c r="DS14" s="808">
        <f t="shared" si="27"/>
        <v>0.65507400000000005</v>
      </c>
      <c r="DW14" s="730">
        <f t="shared" si="102"/>
        <v>11</v>
      </c>
      <c r="DX14" s="840">
        <f t="shared" si="28"/>
        <v>11</v>
      </c>
      <c r="DY14" s="732" t="s">
        <v>418</v>
      </c>
      <c r="DZ14" s="733">
        <f t="shared" si="29"/>
        <v>0.11865252835024</v>
      </c>
      <c r="EA14" s="379">
        <f t="shared" si="30"/>
        <v>424084.75078051531</v>
      </c>
      <c r="EB14" s="808">
        <f t="shared" si="31"/>
        <v>0.82516199999999995</v>
      </c>
      <c r="EN14" s="730">
        <f t="shared" si="103"/>
        <v>11</v>
      </c>
      <c r="EO14" s="840">
        <f t="shared" si="32"/>
        <v>11</v>
      </c>
      <c r="EP14" s="732" t="s">
        <v>418</v>
      </c>
      <c r="EQ14" s="733">
        <f t="shared" si="33"/>
        <v>7.5255129982747263E-2</v>
      </c>
      <c r="ER14" s="379">
        <f t="shared" si="34"/>
        <v>535287.20798758999</v>
      </c>
      <c r="ES14" s="733">
        <f t="shared" si="35"/>
        <v>9.6255186066282583E-2</v>
      </c>
      <c r="ET14" s="379">
        <f t="shared" si="36"/>
        <v>92311.053896383135</v>
      </c>
      <c r="EU14" s="733">
        <f t="shared" si="37"/>
        <v>2.3464461441505987E-2</v>
      </c>
      <c r="EV14" s="379">
        <f t="shared" si="38"/>
        <v>60289.163603776578</v>
      </c>
      <c r="EW14" s="379">
        <f t="shared" si="39"/>
        <v>687887.42548774974</v>
      </c>
      <c r="EX14" s="733">
        <f t="shared" si="40"/>
        <v>6.4642735169794893E-2</v>
      </c>
      <c r="EY14" s="808">
        <f t="shared" si="41"/>
        <v>1.338455</v>
      </c>
      <c r="FI14" s="730">
        <f t="shared" si="104"/>
        <v>11</v>
      </c>
      <c r="FJ14" s="731">
        <f t="shared" si="42"/>
        <v>11</v>
      </c>
      <c r="FK14" s="732" t="s">
        <v>418</v>
      </c>
      <c r="FL14" s="733">
        <f t="shared" si="43"/>
        <v>7.5255129982747263E-2</v>
      </c>
      <c r="FM14" s="379">
        <f t="shared" si="44"/>
        <v>1414316.9598465783</v>
      </c>
      <c r="FN14" s="808">
        <f t="shared" si="45"/>
        <v>2.751903</v>
      </c>
      <c r="FR14" s="730">
        <f t="shared" si="105"/>
        <v>11</v>
      </c>
      <c r="FS14" s="731">
        <v>11</v>
      </c>
      <c r="FT14" s="732" t="s">
        <v>418</v>
      </c>
      <c r="FU14" s="379">
        <f t="shared" si="46"/>
        <v>2577391.6353296186</v>
      </c>
      <c r="FV14" s="379">
        <f t="shared" si="47"/>
        <v>748648.30147979746</v>
      </c>
      <c r="FW14" s="379">
        <f t="shared" si="48"/>
        <v>2190322.1865911921</v>
      </c>
      <c r="FX14" s="379">
        <f t="shared" si="49"/>
        <v>336669.45842619811</v>
      </c>
      <c r="FY14" s="379">
        <f t="shared" si="50"/>
        <v>424084.75078051531</v>
      </c>
      <c r="FZ14" s="379">
        <f t="shared" si="51"/>
        <v>687887.42548774974</v>
      </c>
      <c r="GA14" s="379">
        <f t="shared" si="52"/>
        <v>1414316.9598465783</v>
      </c>
      <c r="GB14" s="379">
        <f t="shared" si="53"/>
        <v>8379320.7179416493</v>
      </c>
      <c r="GC14" s="852">
        <f t="shared" si="54"/>
        <v>16.304036</v>
      </c>
      <c r="GG14" s="730">
        <f t="shared" si="79"/>
        <v>11</v>
      </c>
      <c r="GH14" s="731">
        <f t="shared" si="55"/>
        <v>11</v>
      </c>
      <c r="GI14" s="732" t="s">
        <v>418</v>
      </c>
      <c r="GJ14" s="808">
        <f t="shared" si="56"/>
        <v>5.0149520000000001</v>
      </c>
      <c r="GK14" s="808">
        <f t="shared" si="57"/>
        <v>1.45668</v>
      </c>
      <c r="GL14" s="808">
        <f t="shared" si="58"/>
        <v>4.2618119999999999</v>
      </c>
      <c r="GM14" s="808">
        <f t="shared" si="59"/>
        <v>0.65507400000000005</v>
      </c>
      <c r="GN14" s="808">
        <f t="shared" si="60"/>
        <v>0.82516199999999995</v>
      </c>
      <c r="GO14" s="808">
        <f t="shared" si="61"/>
        <v>1.338455</v>
      </c>
      <c r="GP14" s="808">
        <f t="shared" si="62"/>
        <v>2.751903</v>
      </c>
      <c r="GQ14" s="808">
        <f t="shared" si="63"/>
        <v>16.304036</v>
      </c>
      <c r="GR14" s="784">
        <f t="shared" si="80"/>
        <v>51394148.647677287</v>
      </c>
      <c r="GS14" s="716"/>
      <c r="GV14" s="717">
        <f t="shared" si="81"/>
        <v>11</v>
      </c>
      <c r="GW14" s="731">
        <v>11</v>
      </c>
      <c r="GX14" s="732" t="s">
        <v>418</v>
      </c>
      <c r="GY14" s="758" t="s">
        <v>397</v>
      </c>
      <c r="GZ14" s="906">
        <f t="shared" si="82"/>
        <v>8379320.7179416493</v>
      </c>
      <c r="HA14" s="784">
        <f t="shared" si="83"/>
        <v>51394148.647677287</v>
      </c>
      <c r="HB14" s="922">
        <f t="shared" si="109"/>
        <v>16.304036</v>
      </c>
      <c r="HC14" s="942">
        <f t="shared" si="85"/>
        <v>8379320.497410818</v>
      </c>
      <c r="HD14" s="857">
        <v>0.22434761747717857</v>
      </c>
      <c r="HE14" s="54"/>
      <c r="HH14" s="54"/>
      <c r="HI14" s="54"/>
      <c r="HJ14" s="54"/>
      <c r="HK14" s="54"/>
      <c r="HL14" s="54"/>
      <c r="HM14" s="54"/>
      <c r="HN14" s="54"/>
      <c r="HQ14" s="730">
        <v>11</v>
      </c>
      <c r="HR14" s="867">
        <v>11</v>
      </c>
      <c r="HS14" s="732" t="s">
        <v>418</v>
      </c>
      <c r="HT14" s="784">
        <f t="shared" si="86"/>
        <v>51394148.647677287</v>
      </c>
      <c r="HU14" s="917">
        <f t="shared" si="87"/>
        <v>16.304036</v>
      </c>
      <c r="HV14" s="868"/>
      <c r="HW14" s="765"/>
      <c r="HX14" s="868">
        <v>-2.816278999999998</v>
      </c>
      <c r="HY14" s="766">
        <v>25</v>
      </c>
      <c r="IP14" s="730">
        <v>11</v>
      </c>
      <c r="IQ14" s="867">
        <v>11</v>
      </c>
      <c r="IR14" s="732" t="s">
        <v>418</v>
      </c>
      <c r="IS14" s="913">
        <f t="shared" si="106"/>
        <v>8379320.497410818</v>
      </c>
      <c r="IT14" s="915">
        <f t="shared" si="88"/>
        <v>51394148.647677287</v>
      </c>
      <c r="IU14" s="918">
        <f t="shared" si="89"/>
        <v>16.304036</v>
      </c>
      <c r="IV14" s="904">
        <f t="shared" si="110"/>
        <v>7559898.003513895</v>
      </c>
      <c r="IW14" s="904">
        <f t="shared" si="91"/>
        <v>43834250.644163392</v>
      </c>
      <c r="IX14" s="913">
        <f t="shared" si="111"/>
        <v>113398.47005270842</v>
      </c>
      <c r="IY14" s="881">
        <f t="shared" si="93"/>
        <v>8265922.0273581091</v>
      </c>
      <c r="IZ14" s="928">
        <f t="shared" si="112"/>
        <v>16.083391290365658</v>
      </c>
      <c r="JA14" s="928">
        <f t="shared" si="113"/>
        <v>17.583391290365658</v>
      </c>
      <c r="JB14" s="913">
        <f t="shared" si="107"/>
        <v>8379320.4974108171</v>
      </c>
      <c r="JC14" s="852">
        <v>0.22223353508375254</v>
      </c>
      <c r="JG14" s="730">
        <v>11</v>
      </c>
      <c r="JH14" s="867">
        <v>11</v>
      </c>
      <c r="JI14" s="732" t="s">
        <v>418</v>
      </c>
      <c r="JJ14" s="784">
        <f t="shared" si="96"/>
        <v>51394148.647677287</v>
      </c>
      <c r="JK14" s="917">
        <f t="shared" si="97"/>
        <v>16.083391290365658</v>
      </c>
      <c r="JL14" s="868">
        <v>18.966000000000001</v>
      </c>
      <c r="JM14" s="765"/>
      <c r="JN14" s="868"/>
      <c r="JO14" s="766">
        <v>25</v>
      </c>
      <c r="JT14" s="936">
        <v>6.4202430000000001</v>
      </c>
      <c r="JU14" s="936">
        <f t="shared" si="64"/>
        <v>2.7402999999999622E-2</v>
      </c>
      <c r="JV14" s="13">
        <v>29240088</v>
      </c>
      <c r="JW14" s="13">
        <f t="shared" si="65"/>
        <v>-569113.68136231601</v>
      </c>
    </row>
    <row r="15" spans="1:294" x14ac:dyDescent="0.3">
      <c r="J15" s="338">
        <v>12</v>
      </c>
      <c r="K15" s="759">
        <v>12</v>
      </c>
      <c r="L15" s="518" t="s">
        <v>419</v>
      </c>
      <c r="M15" s="904">
        <v>28670974.318637684</v>
      </c>
      <c r="N15" s="943">
        <f t="shared" si="66"/>
        <v>1.3089991547520004E-2</v>
      </c>
      <c r="O15" s="455">
        <v>1630.8000000000002</v>
      </c>
      <c r="P15" s="948">
        <f t="shared" si="67"/>
        <v>17580.92612131327</v>
      </c>
      <c r="Q15" s="659">
        <f t="shared" si="68"/>
        <v>1.0050807669454466E-2</v>
      </c>
      <c r="R15" s="322" t="s">
        <v>402</v>
      </c>
      <c r="V15" s="734">
        <f t="shared" si="98"/>
        <v>12</v>
      </c>
      <c r="W15" s="735">
        <f t="shared" si="0"/>
        <v>12</v>
      </c>
      <c r="X15" s="518" t="s">
        <v>419</v>
      </c>
      <c r="Y15" s="924">
        <f t="shared" si="69"/>
        <v>1376972.4230374836</v>
      </c>
      <c r="Z15" s="943">
        <f t="shared" si="70"/>
        <v>1.6508255254097218E-2</v>
      </c>
      <c r="AD15" s="734">
        <v>12</v>
      </c>
      <c r="AE15" s="146">
        <v>12</v>
      </c>
      <c r="AF15" s="347" t="s">
        <v>419</v>
      </c>
      <c r="AG15" s="369">
        <v>5.03</v>
      </c>
      <c r="AQ15" s="734">
        <f t="shared" si="71"/>
        <v>12</v>
      </c>
      <c r="AR15" s="787">
        <f t="shared" si="1"/>
        <v>12</v>
      </c>
      <c r="AS15" s="518" t="s">
        <v>419</v>
      </c>
      <c r="AT15" s="518">
        <f t="shared" si="2"/>
        <v>5.03</v>
      </c>
      <c r="AU15" s="788">
        <f t="shared" si="72"/>
        <v>28670974.318637684</v>
      </c>
      <c r="AV15" s="788">
        <f t="shared" si="99"/>
        <v>40059.722450763213</v>
      </c>
      <c r="AW15" s="789">
        <f t="shared" si="3"/>
        <v>41778.190686126603</v>
      </c>
      <c r="AX15" s="790">
        <f t="shared" si="4"/>
        <v>18.222331461311715</v>
      </c>
      <c r="AY15" s="358">
        <f t="shared" si="108"/>
        <v>761296.03853648482</v>
      </c>
      <c r="AZ15" s="35">
        <f t="shared" si="73"/>
        <v>2.1218759494710398E-2</v>
      </c>
      <c r="BA15" s="55">
        <f t="shared" si="5"/>
        <v>2.6552850000000001</v>
      </c>
      <c r="BL15" s="338">
        <f t="shared" si="100"/>
        <v>12</v>
      </c>
      <c r="BM15" s="322">
        <f t="shared" si="6"/>
        <v>12</v>
      </c>
      <c r="BN15" s="518" t="s">
        <v>419</v>
      </c>
      <c r="BO15" s="659">
        <f t="shared" si="7"/>
        <v>2.1218759494710398E-2</v>
      </c>
      <c r="BP15" s="358">
        <f t="shared" si="74"/>
        <v>166686.06440303742</v>
      </c>
      <c r="BQ15" s="659">
        <f t="shared" si="8"/>
        <v>1.3089991547520004E-2</v>
      </c>
      <c r="BR15" s="358">
        <f t="shared" si="75"/>
        <v>102829.723607031</v>
      </c>
      <c r="BS15" s="809">
        <f t="shared" si="9"/>
        <v>269515.78801006841</v>
      </c>
      <c r="BT15" s="810">
        <f t="shared" si="10"/>
        <v>0.94003000000000003</v>
      </c>
      <c r="BW15" s="1"/>
      <c r="BX15" s="10"/>
      <c r="BY15" s="10"/>
      <c r="BZ15" s="10"/>
      <c r="CA15" s="10"/>
      <c r="CB15" s="10"/>
      <c r="CC15" s="10"/>
      <c r="CD15" s="10"/>
      <c r="CE15" s="10"/>
      <c r="CI15" s="734">
        <f t="shared" si="101"/>
        <v>12</v>
      </c>
      <c r="CJ15" s="146">
        <f t="shared" si="12"/>
        <v>12</v>
      </c>
      <c r="CK15" s="518" t="s">
        <v>419</v>
      </c>
      <c r="CL15" s="344">
        <f t="shared" si="13"/>
        <v>1.3089991547520004E-2</v>
      </c>
      <c r="CM15" s="20">
        <f t="shared" si="14"/>
        <v>70086.957974986813</v>
      </c>
      <c r="CN15" s="344">
        <f t="shared" si="15"/>
        <v>1.0050807669454466E-2</v>
      </c>
      <c r="CO15" s="20">
        <f t="shared" si="16"/>
        <v>174895.39010660962</v>
      </c>
      <c r="CP15" s="20">
        <f t="shared" si="17"/>
        <v>244982.34808159643</v>
      </c>
      <c r="CQ15" s="344">
        <f t="shared" si="18"/>
        <v>1.0765914549880811E-2</v>
      </c>
      <c r="CR15" s="342">
        <f t="shared" si="19"/>
        <v>0.85446100000000003</v>
      </c>
      <c r="DE15" s="1"/>
      <c r="DH15" s="734">
        <v>12</v>
      </c>
      <c r="DI15" s="745">
        <f t="shared" si="20"/>
        <v>12</v>
      </c>
      <c r="DJ15" s="518" t="s">
        <v>419</v>
      </c>
      <c r="DK15" s="344">
        <f t="shared" si="21"/>
        <v>1.0765914549880811E-2</v>
      </c>
      <c r="DL15" s="20">
        <f t="shared" si="77"/>
        <v>3380.0263174721981</v>
      </c>
      <c r="DM15" s="344">
        <f t="shared" si="22"/>
        <v>1.0050807669454466E-2</v>
      </c>
      <c r="DN15" s="20">
        <f t="shared" si="23"/>
        <v>19528.725253519398</v>
      </c>
      <c r="DO15" s="344">
        <f t="shared" si="24"/>
        <v>1.3089991547520004E-2</v>
      </c>
      <c r="DP15" s="20">
        <f t="shared" si="25"/>
        <v>42346.164020168195</v>
      </c>
      <c r="DQ15" s="20">
        <f t="shared" si="78"/>
        <v>65254.915591159792</v>
      </c>
      <c r="DR15" s="344">
        <f t="shared" si="26"/>
        <v>1.1881899247606353E-2</v>
      </c>
      <c r="DS15" s="342">
        <f t="shared" si="27"/>
        <v>0.227599</v>
      </c>
      <c r="DW15" s="734">
        <f t="shared" si="102"/>
        <v>12</v>
      </c>
      <c r="DX15" s="745">
        <f t="shared" si="28"/>
        <v>12</v>
      </c>
      <c r="DY15" s="518" t="s">
        <v>419</v>
      </c>
      <c r="DZ15" s="344">
        <f t="shared" si="29"/>
        <v>1.0050807669454466E-2</v>
      </c>
      <c r="EA15" s="20">
        <f t="shared" si="30"/>
        <v>35923.332818173934</v>
      </c>
      <c r="EB15" s="342">
        <f t="shared" si="31"/>
        <v>0.12529499999999999</v>
      </c>
      <c r="EN15" s="734">
        <f t="shared" si="103"/>
        <v>12</v>
      </c>
      <c r="EO15" s="745">
        <f t="shared" si="32"/>
        <v>12</v>
      </c>
      <c r="EP15" s="518" t="s">
        <v>419</v>
      </c>
      <c r="EQ15" s="344">
        <f t="shared" si="33"/>
        <v>1.6508255254097218E-2</v>
      </c>
      <c r="ER15" s="20">
        <f t="shared" si="34"/>
        <v>117422.66428531884</v>
      </c>
      <c r="ES15" s="344">
        <f t="shared" si="35"/>
        <v>1.0765914549880811E-2</v>
      </c>
      <c r="ET15" s="20">
        <f t="shared" si="36"/>
        <v>10324.772709634059</v>
      </c>
      <c r="EU15" s="344">
        <f t="shared" si="37"/>
        <v>1.3089991547520004E-2</v>
      </c>
      <c r="EV15" s="20">
        <f t="shared" si="38"/>
        <v>33633.187957363785</v>
      </c>
      <c r="EW15" s="20">
        <f t="shared" si="39"/>
        <v>161380.62495231669</v>
      </c>
      <c r="EX15" s="344">
        <f t="shared" si="40"/>
        <v>1.5165395693825459E-2</v>
      </c>
      <c r="EY15" s="342">
        <f t="shared" si="41"/>
        <v>0.56287100000000001</v>
      </c>
      <c r="FI15" s="734">
        <f t="shared" si="104"/>
        <v>12</v>
      </c>
      <c r="FJ15" s="735">
        <f t="shared" si="42"/>
        <v>12</v>
      </c>
      <c r="FK15" s="518" t="s">
        <v>419</v>
      </c>
      <c r="FL15" s="344">
        <f t="shared" si="43"/>
        <v>1.6508255254097218E-2</v>
      </c>
      <c r="FM15" s="20">
        <f t="shared" si="44"/>
        <v>310250.01735693956</v>
      </c>
      <c r="FN15" s="342">
        <f t="shared" si="45"/>
        <v>1.0821050000000001</v>
      </c>
      <c r="FR15" s="734">
        <f t="shared" si="105"/>
        <v>12</v>
      </c>
      <c r="FS15" s="735">
        <v>12</v>
      </c>
      <c r="FT15" s="518" t="s">
        <v>419</v>
      </c>
      <c r="FU15" s="20">
        <f t="shared" si="46"/>
        <v>761296.03853648482</v>
      </c>
      <c r="FV15" s="20">
        <f t="shared" si="47"/>
        <v>269515.78801006841</v>
      </c>
      <c r="FW15" s="20">
        <f t="shared" si="48"/>
        <v>244982.34808159643</v>
      </c>
      <c r="FX15" s="20">
        <f t="shared" si="49"/>
        <v>65254.915591159792</v>
      </c>
      <c r="FY15" s="20">
        <f t="shared" si="50"/>
        <v>35923.332818173934</v>
      </c>
      <c r="FZ15" s="20">
        <f t="shared" si="51"/>
        <v>161380.62495231669</v>
      </c>
      <c r="GA15" s="20">
        <f t="shared" si="52"/>
        <v>310250.01735693956</v>
      </c>
      <c r="GB15" s="20">
        <f t="shared" si="53"/>
        <v>1848603.06534674</v>
      </c>
      <c r="GC15" s="414">
        <f t="shared" si="54"/>
        <v>6.4476459999999998</v>
      </c>
      <c r="GG15" s="734">
        <f t="shared" si="79"/>
        <v>12</v>
      </c>
      <c r="GH15" s="735">
        <f t="shared" si="55"/>
        <v>12</v>
      </c>
      <c r="GI15" s="518" t="s">
        <v>419</v>
      </c>
      <c r="GJ15" s="342">
        <f t="shared" si="56"/>
        <v>2.6552850000000001</v>
      </c>
      <c r="GK15" s="342">
        <f t="shared" si="57"/>
        <v>0.94003000000000003</v>
      </c>
      <c r="GL15" s="342">
        <f t="shared" si="58"/>
        <v>0.85446100000000003</v>
      </c>
      <c r="GM15" s="342">
        <f t="shared" si="59"/>
        <v>0.227599</v>
      </c>
      <c r="GN15" s="342">
        <f t="shared" si="60"/>
        <v>0.12529499999999999</v>
      </c>
      <c r="GO15" s="342">
        <f t="shared" si="61"/>
        <v>0.56287100000000001</v>
      </c>
      <c r="GP15" s="342">
        <f t="shared" si="62"/>
        <v>1.0821050000000001</v>
      </c>
      <c r="GQ15" s="342">
        <f t="shared" si="63"/>
        <v>6.4476459999999998</v>
      </c>
      <c r="GR15" s="788">
        <f t="shared" si="80"/>
        <v>28670974.318637684</v>
      </c>
      <c r="GS15" s="716"/>
      <c r="GV15" s="718">
        <f t="shared" si="81"/>
        <v>12</v>
      </c>
      <c r="GW15" s="735">
        <v>12</v>
      </c>
      <c r="GX15" s="518" t="s">
        <v>419</v>
      </c>
      <c r="GY15" s="322" t="s">
        <v>402</v>
      </c>
      <c r="GZ15" s="924">
        <f t="shared" si="82"/>
        <v>1848603.06534674</v>
      </c>
      <c r="HA15" s="788">
        <f t="shared" si="83"/>
        <v>28670974.318637684</v>
      </c>
      <c r="HB15" s="922">
        <f t="shared" si="109"/>
        <v>6.4476459999999998</v>
      </c>
      <c r="HC15" s="942">
        <f t="shared" si="85"/>
        <v>1848602.9288166699</v>
      </c>
      <c r="HD15" s="858">
        <v>0.12119537964463234</v>
      </c>
      <c r="HE15" s="54"/>
      <c r="HH15" s="54"/>
      <c r="HI15" s="54"/>
      <c r="HJ15" s="54"/>
      <c r="HK15" s="54"/>
      <c r="HL15" s="54"/>
      <c r="HM15" s="54"/>
      <c r="HN15" s="54"/>
      <c r="HQ15" s="734">
        <v>12</v>
      </c>
      <c r="HR15" s="869">
        <v>12</v>
      </c>
      <c r="HS15" s="518" t="s">
        <v>419</v>
      </c>
      <c r="HT15" s="788">
        <f t="shared" si="86"/>
        <v>28670974.318637684</v>
      </c>
      <c r="HU15" s="917">
        <f t="shared" si="87"/>
        <v>6.4476459999999998</v>
      </c>
      <c r="HV15" s="870"/>
      <c r="HW15" s="768"/>
      <c r="HX15" s="870">
        <v>-1.7861609999999999</v>
      </c>
      <c r="HY15" s="769">
        <v>10</v>
      </c>
      <c r="IP15" s="734">
        <v>12</v>
      </c>
      <c r="IQ15" s="869">
        <v>12</v>
      </c>
      <c r="IR15" s="518" t="s">
        <v>419</v>
      </c>
      <c r="IS15" s="913">
        <f t="shared" si="106"/>
        <v>1848602.9288166699</v>
      </c>
      <c r="IT15" s="915">
        <f t="shared" si="88"/>
        <v>28670974.318637684</v>
      </c>
      <c r="IU15" s="919">
        <f t="shared" si="89"/>
        <v>6.4476459999999998</v>
      </c>
      <c r="IV15" s="904">
        <v>0</v>
      </c>
      <c r="IW15" s="904">
        <f t="shared" si="91"/>
        <v>28670974.318637684</v>
      </c>
      <c r="IX15" s="913">
        <v>0</v>
      </c>
      <c r="IY15" s="882">
        <f t="shared" si="93"/>
        <v>1848602.9288166699</v>
      </c>
      <c r="IZ15" s="928">
        <f>IU15</f>
        <v>6.4476459999999998</v>
      </c>
      <c r="JA15" s="929">
        <f>IZ15</f>
        <v>6.4476459999999998</v>
      </c>
      <c r="JB15" s="913">
        <f t="shared" si="107"/>
        <v>1848602.9288166699</v>
      </c>
      <c r="JC15" s="883">
        <v>0</v>
      </c>
      <c r="JG15" s="734">
        <v>12</v>
      </c>
      <c r="JH15" s="869">
        <v>12</v>
      </c>
      <c r="JI15" s="518" t="s">
        <v>419</v>
      </c>
      <c r="JJ15" s="788">
        <f t="shared" si="96"/>
        <v>28670974.318637684</v>
      </c>
      <c r="JK15" s="917">
        <f t="shared" si="97"/>
        <v>6.4476459999999998</v>
      </c>
      <c r="JL15" s="870">
        <v>8.2569999999999997</v>
      </c>
      <c r="JM15" s="768"/>
      <c r="JN15" s="870"/>
      <c r="JO15" s="769">
        <v>10</v>
      </c>
      <c r="JT15" s="936">
        <v>109.12596292654027</v>
      </c>
      <c r="JU15" s="936">
        <f t="shared" si="64"/>
        <v>0.55617836382539565</v>
      </c>
      <c r="JV15" s="13">
        <v>1174</v>
      </c>
      <c r="JW15" s="13">
        <f t="shared" si="65"/>
        <v>-279.40820589290115</v>
      </c>
    </row>
    <row r="16" spans="1:294" x14ac:dyDescent="0.3">
      <c r="F16" s="5"/>
      <c r="J16" s="756">
        <v>13</v>
      </c>
      <c r="K16" s="757">
        <v>13</v>
      </c>
      <c r="L16" s="732" t="s">
        <v>420</v>
      </c>
      <c r="M16" s="904">
        <v>894.59179410709885</v>
      </c>
      <c r="N16" s="944">
        <f t="shared" si="66"/>
        <v>4.0843394065371595E-7</v>
      </c>
      <c r="O16" s="753">
        <v>38.909090909090907</v>
      </c>
      <c r="P16" s="948">
        <f t="shared" si="67"/>
        <v>22.99184517564974</v>
      </c>
      <c r="Q16" s="733">
        <f t="shared" si="68"/>
        <v>1.3144166139586065E-5</v>
      </c>
      <c r="R16" s="758" t="s">
        <v>397</v>
      </c>
      <c r="V16" s="730">
        <f>+V15+1</f>
        <v>13</v>
      </c>
      <c r="W16" s="731">
        <f t="shared" si="0"/>
        <v>13</v>
      </c>
      <c r="X16" s="732" t="s">
        <v>420</v>
      </c>
      <c r="Y16" s="924">
        <f t="shared" si="69"/>
        <v>741.95653695045053</v>
      </c>
      <c r="Z16" s="944">
        <f t="shared" si="70"/>
        <v>8.8951729856761463E-6</v>
      </c>
      <c r="AD16" s="730">
        <v>13</v>
      </c>
      <c r="AE16" s="746">
        <v>13</v>
      </c>
      <c r="AF16" s="747" t="s">
        <v>420</v>
      </c>
      <c r="AG16" s="748">
        <v>74.84</v>
      </c>
      <c r="AQ16" s="730">
        <f t="shared" si="71"/>
        <v>13</v>
      </c>
      <c r="AR16" s="783">
        <f t="shared" si="1"/>
        <v>13</v>
      </c>
      <c r="AS16" s="732" t="s">
        <v>420</v>
      </c>
      <c r="AT16" s="732">
        <f t="shared" si="2"/>
        <v>74.84</v>
      </c>
      <c r="AU16" s="784">
        <f t="shared" si="72"/>
        <v>894.59179410709885</v>
      </c>
      <c r="AV16" s="784">
        <f t="shared" si="99"/>
        <v>18.597569408604244</v>
      </c>
      <c r="AW16" s="785">
        <f t="shared" si="3"/>
        <v>19.395361563128851</v>
      </c>
      <c r="AX16" s="786">
        <f t="shared" si="4"/>
        <v>18.222331461311715</v>
      </c>
      <c r="AY16" s="379">
        <f>AW16*AX16</f>
        <v>353.42870721531881</v>
      </c>
      <c r="AZ16" s="51">
        <f t="shared" si="73"/>
        <v>9.850726074110348E-6</v>
      </c>
      <c r="BA16" s="53">
        <f t="shared" si="5"/>
        <v>39.507260000000002</v>
      </c>
      <c r="BL16" s="756">
        <f t="shared" si="100"/>
        <v>13</v>
      </c>
      <c r="BM16" s="758">
        <f t="shared" si="6"/>
        <v>13</v>
      </c>
      <c r="BN16" s="732" t="s">
        <v>420</v>
      </c>
      <c r="BO16" s="733">
        <f t="shared" si="7"/>
        <v>9.850726074110348E-6</v>
      </c>
      <c r="BP16" s="379">
        <f t="shared" si="74"/>
        <v>77.383353217004256</v>
      </c>
      <c r="BQ16" s="733">
        <f t="shared" si="8"/>
        <v>4.0843394065371595E-7</v>
      </c>
      <c r="BR16" s="379">
        <f t="shared" si="75"/>
        <v>3.2084932275689031</v>
      </c>
      <c r="BS16" s="807">
        <f t="shared" si="9"/>
        <v>80.591846444573164</v>
      </c>
      <c r="BT16" s="808">
        <f t="shared" si="10"/>
        <v>9.0087840000000003</v>
      </c>
      <c r="BW16" s="1"/>
      <c r="BX16" s="10"/>
      <c r="BY16" s="10"/>
      <c r="BZ16" s="10"/>
      <c r="CA16" s="10"/>
      <c r="CB16" s="10"/>
      <c r="CC16" s="10"/>
      <c r="CD16" s="10"/>
      <c r="CE16" s="10"/>
      <c r="CI16" s="730">
        <f t="shared" si="101"/>
        <v>13</v>
      </c>
      <c r="CJ16" s="746">
        <f t="shared" si="12"/>
        <v>13</v>
      </c>
      <c r="CK16" s="732" t="s">
        <v>420</v>
      </c>
      <c r="CL16" s="733">
        <f t="shared" si="13"/>
        <v>4.0843394065371595E-7</v>
      </c>
      <c r="CM16" s="379">
        <f t="shared" si="14"/>
        <v>2.1868533933147294</v>
      </c>
      <c r="CN16" s="733">
        <f t="shared" si="15"/>
        <v>1.3144166139586065E-5</v>
      </c>
      <c r="CO16" s="379">
        <f t="shared" si="16"/>
        <v>228.72331659429415</v>
      </c>
      <c r="CP16" s="379">
        <f t="shared" si="17"/>
        <v>230.91016998760887</v>
      </c>
      <c r="CQ16" s="733">
        <f t="shared" si="18"/>
        <v>1.0147503190544365E-5</v>
      </c>
      <c r="CR16" s="808">
        <f t="shared" si="19"/>
        <v>25.811792000000001</v>
      </c>
      <c r="DE16" s="1"/>
      <c r="DH16" s="730">
        <v>13</v>
      </c>
      <c r="DI16" s="840">
        <f t="shared" si="20"/>
        <v>13</v>
      </c>
      <c r="DJ16" s="732" t="s">
        <v>420</v>
      </c>
      <c r="DK16" s="733">
        <f t="shared" si="21"/>
        <v>1.0147503190544365E-5</v>
      </c>
      <c r="DL16" s="379">
        <f t="shared" si="77"/>
        <v>3.1858721970863844</v>
      </c>
      <c r="DM16" s="733">
        <f t="shared" si="22"/>
        <v>1.3144166139586065E-5</v>
      </c>
      <c r="DN16" s="379">
        <f t="shared" si="23"/>
        <v>25.539122592773822</v>
      </c>
      <c r="DO16" s="733">
        <f t="shared" si="24"/>
        <v>4.0843394065371595E-7</v>
      </c>
      <c r="DP16" s="379">
        <f t="shared" si="25"/>
        <v>1.3212850886525347</v>
      </c>
      <c r="DQ16" s="379">
        <f t="shared" si="78"/>
        <v>30.046279878512738</v>
      </c>
      <c r="DR16" s="733">
        <f t="shared" si="26"/>
        <v>5.4709575063833938E-6</v>
      </c>
      <c r="DS16" s="808">
        <f t="shared" si="27"/>
        <v>3.3586580000000001</v>
      </c>
      <c r="DW16" s="730">
        <f t="shared" si="102"/>
        <v>13</v>
      </c>
      <c r="DX16" s="840">
        <f t="shared" si="28"/>
        <v>13</v>
      </c>
      <c r="DY16" s="732" t="s">
        <v>420</v>
      </c>
      <c r="DZ16" s="733">
        <f t="shared" si="29"/>
        <v>1.3144166139586065E-5</v>
      </c>
      <c r="EA16" s="379">
        <f t="shared" si="30"/>
        <v>46.97953342443688</v>
      </c>
      <c r="EB16" s="808">
        <f t="shared" si="31"/>
        <v>5.2515049999999999</v>
      </c>
      <c r="EN16" s="730">
        <f>+EN15+1</f>
        <v>13</v>
      </c>
      <c r="EO16" s="840">
        <f t="shared" si="32"/>
        <v>13</v>
      </c>
      <c r="EP16" s="732" t="s">
        <v>420</v>
      </c>
      <c r="EQ16" s="733">
        <f t="shared" si="33"/>
        <v>8.8951729856761463E-6</v>
      </c>
      <c r="ER16" s="379">
        <f t="shared" si="34"/>
        <v>63.271066213835766</v>
      </c>
      <c r="ES16" s="733">
        <f t="shared" si="35"/>
        <v>1.0147503190544365E-5</v>
      </c>
      <c r="ET16" s="379">
        <f t="shared" si="36"/>
        <v>9.731701243515527</v>
      </c>
      <c r="EU16" s="733">
        <f t="shared" si="37"/>
        <v>4.0843394065371595E-7</v>
      </c>
      <c r="EV16" s="379">
        <f t="shared" si="38"/>
        <v>1.0494227933077436</v>
      </c>
      <c r="EW16" s="379">
        <f t="shared" si="39"/>
        <v>74.052190250659038</v>
      </c>
      <c r="EX16" s="733">
        <f t="shared" si="40"/>
        <v>6.9588946472199577E-6</v>
      </c>
      <c r="EY16" s="808">
        <f t="shared" si="41"/>
        <v>8.2777630000000002</v>
      </c>
      <c r="FI16" s="730">
        <f>+FI15+1</f>
        <v>13</v>
      </c>
      <c r="FJ16" s="731">
        <f t="shared" si="42"/>
        <v>13</v>
      </c>
      <c r="FK16" s="732" t="s">
        <v>420</v>
      </c>
      <c r="FL16" s="733">
        <f t="shared" si="43"/>
        <v>8.8951729856761463E-6</v>
      </c>
      <c r="FM16" s="379">
        <f t="shared" si="44"/>
        <v>167.17257703621112</v>
      </c>
      <c r="FN16" s="808">
        <f t="shared" si="45"/>
        <v>18.687023</v>
      </c>
      <c r="FR16" s="730">
        <f>+FR15+1</f>
        <v>13</v>
      </c>
      <c r="FS16" s="731">
        <v>13</v>
      </c>
      <c r="FT16" s="732" t="s">
        <v>420</v>
      </c>
      <c r="FU16" s="379">
        <f t="shared" si="46"/>
        <v>353.42870721531881</v>
      </c>
      <c r="FV16" s="379">
        <f t="shared" si="47"/>
        <v>80.591846444573164</v>
      </c>
      <c r="FW16" s="379">
        <f t="shared" si="48"/>
        <v>230.91016998760887</v>
      </c>
      <c r="FX16" s="379">
        <f t="shared" si="49"/>
        <v>30.046279878512738</v>
      </c>
      <c r="FY16" s="379">
        <f t="shared" si="50"/>
        <v>46.97953342443688</v>
      </c>
      <c r="FZ16" s="379">
        <f t="shared" si="51"/>
        <v>74.052190250659038</v>
      </c>
      <c r="GA16" s="379">
        <f t="shared" si="52"/>
        <v>167.17257703621112</v>
      </c>
      <c r="GB16" s="379">
        <f t="shared" si="53"/>
        <v>983.18130423732066</v>
      </c>
      <c r="GC16" s="852">
        <f t="shared" si="54"/>
        <v>109.90278600000001</v>
      </c>
      <c r="GG16" s="730">
        <f t="shared" si="79"/>
        <v>13</v>
      </c>
      <c r="GH16" s="731">
        <f t="shared" si="55"/>
        <v>13</v>
      </c>
      <c r="GI16" s="732" t="s">
        <v>420</v>
      </c>
      <c r="GJ16" s="808">
        <f t="shared" si="56"/>
        <v>39.507260000000002</v>
      </c>
      <c r="GK16" s="808">
        <f t="shared" si="57"/>
        <v>9.0087840000000003</v>
      </c>
      <c r="GL16" s="808">
        <f t="shared" si="58"/>
        <v>25.811792000000001</v>
      </c>
      <c r="GM16" s="808">
        <f t="shared" si="59"/>
        <v>3.3586580000000001</v>
      </c>
      <c r="GN16" s="808">
        <f t="shared" si="60"/>
        <v>5.2515049999999999</v>
      </c>
      <c r="GO16" s="808">
        <f t="shared" si="61"/>
        <v>8.2777630000000002</v>
      </c>
      <c r="GP16" s="808">
        <f t="shared" si="62"/>
        <v>18.687023</v>
      </c>
      <c r="GQ16" s="808">
        <f t="shared" si="63"/>
        <v>109.90278600000001</v>
      </c>
      <c r="GR16" s="784">
        <f t="shared" si="80"/>
        <v>894.59179410709885</v>
      </c>
      <c r="GS16" s="716"/>
      <c r="GV16" s="717">
        <f t="shared" si="81"/>
        <v>13</v>
      </c>
      <c r="GW16" s="731">
        <v>13</v>
      </c>
      <c r="GX16" s="732" t="s">
        <v>420</v>
      </c>
      <c r="GY16" s="758" t="s">
        <v>397</v>
      </c>
      <c r="GZ16" s="906">
        <f t="shared" si="82"/>
        <v>983.18130423732066</v>
      </c>
      <c r="HA16" s="784">
        <f t="shared" si="83"/>
        <v>894.59179410709885</v>
      </c>
      <c r="HB16" s="922">
        <f t="shared" si="109"/>
        <v>109.90278600000001</v>
      </c>
      <c r="HC16" s="942">
        <f t="shared" si="85"/>
        <v>983.18130505108547</v>
      </c>
      <c r="HD16" s="857">
        <v>3.0916014566173544E-6</v>
      </c>
      <c r="HE16" s="54"/>
      <c r="HH16" s="54"/>
      <c r="HI16" s="54"/>
      <c r="HJ16" s="54"/>
      <c r="HK16" s="54"/>
      <c r="HL16" s="54"/>
      <c r="HM16" s="54"/>
      <c r="HN16" s="54"/>
      <c r="HQ16" s="730">
        <v>13</v>
      </c>
      <c r="HR16" s="867">
        <v>13</v>
      </c>
      <c r="HS16" s="732" t="s">
        <v>420</v>
      </c>
      <c r="HT16" s="784">
        <f t="shared" si="86"/>
        <v>894.59179410709885</v>
      </c>
      <c r="HU16" s="917">
        <f t="shared" si="87"/>
        <v>109.90278600000001</v>
      </c>
      <c r="HV16" s="868"/>
      <c r="HW16" s="765"/>
      <c r="HX16" s="868">
        <v>-62.519793000000007</v>
      </c>
      <c r="HY16" s="766">
        <v>10</v>
      </c>
      <c r="IP16" s="730">
        <v>13</v>
      </c>
      <c r="IQ16" s="867">
        <v>13</v>
      </c>
      <c r="IR16" s="732" t="s">
        <v>420</v>
      </c>
      <c r="IS16" s="913">
        <f t="shared" si="106"/>
        <v>983.18130505108547</v>
      </c>
      <c r="IT16" s="915">
        <f t="shared" si="88"/>
        <v>894.59179410709885</v>
      </c>
      <c r="IU16" s="918">
        <f t="shared" si="89"/>
        <v>109.90278600000001</v>
      </c>
      <c r="IV16" s="904">
        <f>IT16*$IK$4/(1-$IL$4)</f>
        <v>131.59129776801583</v>
      </c>
      <c r="IW16" s="904">
        <f t="shared" si="91"/>
        <v>763.00049633908304</v>
      </c>
      <c r="IX16" s="913">
        <f>IV16*$II$4</f>
        <v>1.9738694665202374</v>
      </c>
      <c r="IY16" s="881">
        <f t="shared" si="93"/>
        <v>981.20743558456525</v>
      </c>
      <c r="IZ16" s="928">
        <f>100*IY16/IT16</f>
        <v>109.68214129036566</v>
      </c>
      <c r="JA16" s="928">
        <f>IZ16+1.5</f>
        <v>111.18214129036566</v>
      </c>
      <c r="JB16" s="913">
        <f t="shared" si="107"/>
        <v>983.18130505108547</v>
      </c>
      <c r="JC16" s="852">
        <v>0.22223338397144232</v>
      </c>
      <c r="JG16" s="730">
        <v>13</v>
      </c>
      <c r="JH16" s="867">
        <v>13</v>
      </c>
      <c r="JI16" s="732" t="s">
        <v>420</v>
      </c>
      <c r="JJ16" s="784">
        <f t="shared" si="96"/>
        <v>894.59179410709885</v>
      </c>
      <c r="JK16" s="917">
        <f t="shared" si="97"/>
        <v>109.68214129036566</v>
      </c>
      <c r="JL16" s="868">
        <v>172.63300000000001</v>
      </c>
      <c r="JM16" s="765"/>
      <c r="JN16" s="868"/>
      <c r="JO16" s="766">
        <v>10</v>
      </c>
      <c r="JT16" s="936">
        <v>7.0486779999999998</v>
      </c>
      <c r="JU16" s="936">
        <f t="shared" si="64"/>
        <v>3.0994000000000632E-2</v>
      </c>
      <c r="JV16" s="13">
        <v>4661820</v>
      </c>
      <c r="JW16" s="13">
        <f t="shared" si="65"/>
        <v>-131054</v>
      </c>
    </row>
    <row r="17" spans="3:294" x14ac:dyDescent="0.3">
      <c r="J17" s="338">
        <v>14</v>
      </c>
      <c r="K17" s="759">
        <v>14</v>
      </c>
      <c r="L17" s="518" t="s">
        <v>421</v>
      </c>
      <c r="M17" s="904">
        <v>4530766</v>
      </c>
      <c r="N17" s="943">
        <f t="shared" si="66"/>
        <v>2.0685620232039972E-3</v>
      </c>
      <c r="O17" s="455">
        <v>1224</v>
      </c>
      <c r="P17" s="948">
        <f t="shared" si="67"/>
        <v>3701.6062091503268</v>
      </c>
      <c r="Q17" s="659">
        <f t="shared" si="68"/>
        <v>2.1161645194064031E-3</v>
      </c>
      <c r="R17" s="322" t="s">
        <v>402</v>
      </c>
      <c r="V17" s="734">
        <f t="shared" si="98"/>
        <v>14</v>
      </c>
      <c r="W17" s="735">
        <f t="shared" si="0"/>
        <v>14</v>
      </c>
      <c r="X17" s="518" t="s">
        <v>421</v>
      </c>
      <c r="Y17" s="924">
        <f t="shared" si="69"/>
        <v>239151.79145389929</v>
      </c>
      <c r="Z17" s="943">
        <f t="shared" si="70"/>
        <v>2.8671444335004841E-3</v>
      </c>
      <c r="AD17" s="734">
        <v>14</v>
      </c>
      <c r="AE17" s="146">
        <v>14</v>
      </c>
      <c r="AF17" s="347" t="s">
        <v>421</v>
      </c>
      <c r="AG17" s="369">
        <v>5.35</v>
      </c>
      <c r="AQ17" s="734">
        <f t="shared" si="71"/>
        <v>14</v>
      </c>
      <c r="AR17" s="787">
        <f t="shared" si="1"/>
        <v>14</v>
      </c>
      <c r="AS17" s="518" t="s">
        <v>421</v>
      </c>
      <c r="AT17" s="518">
        <f>VLOOKUP(AR17,$AE$4:$AG$27,$AT$30,FALSE)</f>
        <v>5.35</v>
      </c>
      <c r="AU17" s="788">
        <f t="shared" si="72"/>
        <v>4530766</v>
      </c>
      <c r="AV17" s="788">
        <f t="shared" si="99"/>
        <v>6733.2216944444435</v>
      </c>
      <c r="AW17" s="789">
        <f t="shared" si="3"/>
        <v>7022.0611295599501</v>
      </c>
      <c r="AX17" s="790">
        <f t="shared" si="4"/>
        <v>18.222331461311715</v>
      </c>
      <c r="AY17" s="358">
        <f t="shared" si="108"/>
        <v>127958.32544443436</v>
      </c>
      <c r="AZ17" s="35">
        <f t="shared" si="73"/>
        <v>3.5664403799747528E-3</v>
      </c>
      <c r="BA17" s="55">
        <f t="shared" si="5"/>
        <v>2.8242099999999999</v>
      </c>
      <c r="BL17" s="338">
        <f t="shared" si="100"/>
        <v>14</v>
      </c>
      <c r="BM17" s="322">
        <f t="shared" si="6"/>
        <v>14</v>
      </c>
      <c r="BN17" s="518" t="s">
        <v>421</v>
      </c>
      <c r="BO17" s="659">
        <f t="shared" si="7"/>
        <v>3.5664403799747528E-3</v>
      </c>
      <c r="BP17" s="358">
        <f t="shared" si="74"/>
        <v>28016.525236277888</v>
      </c>
      <c r="BQ17" s="659">
        <f t="shared" si="8"/>
        <v>2.0685620232039972E-3</v>
      </c>
      <c r="BR17" s="358">
        <f t="shared" si="75"/>
        <v>16249.793618114851</v>
      </c>
      <c r="BS17" s="809">
        <f t="shared" si="9"/>
        <v>44266.318854392739</v>
      </c>
      <c r="BT17" s="810">
        <f t="shared" si="10"/>
        <v>0.977016</v>
      </c>
      <c r="BW17" s="1"/>
      <c r="BX17" s="10"/>
      <c r="BY17" s="10"/>
      <c r="BZ17" s="10"/>
      <c r="CA17" s="10"/>
      <c r="CB17" s="10"/>
      <c r="CC17" s="10"/>
      <c r="CD17" s="10"/>
      <c r="CE17" s="10"/>
      <c r="CI17" s="734">
        <f t="shared" si="101"/>
        <v>14</v>
      </c>
      <c r="CJ17" s="146">
        <f t="shared" si="12"/>
        <v>14</v>
      </c>
      <c r="CK17" s="518" t="s">
        <v>421</v>
      </c>
      <c r="CL17" s="344">
        <f t="shared" si="13"/>
        <v>2.0685620232039972E-3</v>
      </c>
      <c r="CM17" s="20">
        <f t="shared" si="14"/>
        <v>11075.57778495431</v>
      </c>
      <c r="CN17" s="344">
        <f t="shared" si="15"/>
        <v>2.1161645194064031E-3</v>
      </c>
      <c r="CO17" s="20">
        <f t="shared" si="16"/>
        <v>36823.649533772987</v>
      </c>
      <c r="CP17" s="20">
        <f t="shared" si="17"/>
        <v>47899.227318727295</v>
      </c>
      <c r="CQ17" s="344">
        <f t="shared" si="18"/>
        <v>2.1049638570162497E-3</v>
      </c>
      <c r="CR17" s="342">
        <f t="shared" si="19"/>
        <v>1.057199</v>
      </c>
      <c r="DE17" s="1"/>
      <c r="DH17" s="734">
        <v>14</v>
      </c>
      <c r="DI17" s="745">
        <f t="shared" si="20"/>
        <v>14</v>
      </c>
      <c r="DJ17" s="518" t="s">
        <v>421</v>
      </c>
      <c r="DK17" s="344">
        <f t="shared" si="21"/>
        <v>2.1049638570162497E-3</v>
      </c>
      <c r="DL17" s="20">
        <f t="shared" si="77"/>
        <v>660.86658974285444</v>
      </c>
      <c r="DM17" s="344">
        <f t="shared" si="22"/>
        <v>2.1161645194064031E-3</v>
      </c>
      <c r="DN17" s="20">
        <f t="shared" si="23"/>
        <v>4111.70891433212</v>
      </c>
      <c r="DO17" s="344">
        <f t="shared" si="24"/>
        <v>2.0685620232039972E-3</v>
      </c>
      <c r="DP17" s="20">
        <f t="shared" si="25"/>
        <v>6691.8046816526085</v>
      </c>
      <c r="DQ17" s="20">
        <f t="shared" si="78"/>
        <v>11464.380185727583</v>
      </c>
      <c r="DR17" s="344">
        <f t="shared" si="26"/>
        <v>2.0874842771465259E-3</v>
      </c>
      <c r="DS17" s="342">
        <f t="shared" si="27"/>
        <v>0.25303399999999998</v>
      </c>
      <c r="DW17" s="734">
        <f t="shared" si="102"/>
        <v>14</v>
      </c>
      <c r="DX17" s="745">
        <f t="shared" si="28"/>
        <v>14</v>
      </c>
      <c r="DY17" s="518" t="s">
        <v>421</v>
      </c>
      <c r="DZ17" s="344">
        <f t="shared" si="29"/>
        <v>2.1161645194064031E-3</v>
      </c>
      <c r="EA17" s="20">
        <f t="shared" si="30"/>
        <v>7563.5396506172992</v>
      </c>
      <c r="EB17" s="342">
        <f t="shared" si="31"/>
        <v>0.166937</v>
      </c>
      <c r="EN17" s="734">
        <f t="shared" si="103"/>
        <v>14</v>
      </c>
      <c r="EO17" s="745">
        <f t="shared" si="32"/>
        <v>14</v>
      </c>
      <c r="EP17" s="518" t="s">
        <v>421</v>
      </c>
      <c r="EQ17" s="344">
        <f t="shared" si="33"/>
        <v>2.8671444335004841E-3</v>
      </c>
      <c r="ER17" s="20">
        <f t="shared" si="34"/>
        <v>20393.901904859977</v>
      </c>
      <c r="ES17" s="344">
        <f t="shared" si="35"/>
        <v>2.1049638570162497E-3</v>
      </c>
      <c r="ET17" s="20">
        <f t="shared" si="36"/>
        <v>2018.7113026944869</v>
      </c>
      <c r="EU17" s="344">
        <f t="shared" si="37"/>
        <v>2.0685620232039972E-3</v>
      </c>
      <c r="EV17" s="20">
        <f t="shared" si="38"/>
        <v>5314.9259168976123</v>
      </c>
      <c r="EW17" s="20">
        <f t="shared" si="39"/>
        <v>27727.539124452076</v>
      </c>
      <c r="EX17" s="344">
        <f t="shared" si="40"/>
        <v>2.6056356056533289E-3</v>
      </c>
      <c r="EY17" s="342">
        <f t="shared" si="41"/>
        <v>0.61198300000000005</v>
      </c>
      <c r="FI17" s="734">
        <f t="shared" si="104"/>
        <v>14</v>
      </c>
      <c r="FJ17" s="735">
        <f t="shared" si="42"/>
        <v>14</v>
      </c>
      <c r="FK17" s="518" t="s">
        <v>421</v>
      </c>
      <c r="FL17" s="344">
        <f t="shared" si="43"/>
        <v>2.8671444335004841E-3</v>
      </c>
      <c r="FM17" s="20">
        <f t="shared" si="44"/>
        <v>53884.047500271299</v>
      </c>
      <c r="FN17" s="342">
        <f t="shared" si="45"/>
        <v>1.189292</v>
      </c>
      <c r="FR17" s="734">
        <f t="shared" si="105"/>
        <v>14</v>
      </c>
      <c r="FS17" s="735">
        <v>14</v>
      </c>
      <c r="FT17" s="518" t="s">
        <v>421</v>
      </c>
      <c r="FU17" s="20">
        <f t="shared" si="46"/>
        <v>127958.32544443436</v>
      </c>
      <c r="FV17" s="20">
        <f t="shared" si="47"/>
        <v>44266.318854392739</v>
      </c>
      <c r="FW17" s="20">
        <f t="shared" si="48"/>
        <v>47899.227318727295</v>
      </c>
      <c r="FX17" s="20">
        <f t="shared" si="49"/>
        <v>11464.380185727583</v>
      </c>
      <c r="FY17" s="20">
        <f t="shared" si="50"/>
        <v>7563.5396506172992</v>
      </c>
      <c r="FZ17" s="20">
        <f t="shared" si="51"/>
        <v>27727.539124452076</v>
      </c>
      <c r="GA17" s="20">
        <f t="shared" si="52"/>
        <v>53884.047500271299</v>
      </c>
      <c r="GB17" s="20">
        <f t="shared" si="53"/>
        <v>320763.37807862269</v>
      </c>
      <c r="GC17" s="414">
        <f t="shared" si="54"/>
        <v>7.0796720000000004</v>
      </c>
      <c r="GG17" s="734">
        <f t="shared" si="79"/>
        <v>14</v>
      </c>
      <c r="GH17" s="735">
        <f t="shared" si="55"/>
        <v>14</v>
      </c>
      <c r="GI17" s="518" t="s">
        <v>421</v>
      </c>
      <c r="GJ17" s="342">
        <f t="shared" si="56"/>
        <v>2.8242099999999999</v>
      </c>
      <c r="GK17" s="342">
        <f t="shared" si="57"/>
        <v>0.977016</v>
      </c>
      <c r="GL17" s="342">
        <f t="shared" si="58"/>
        <v>1.057199</v>
      </c>
      <c r="GM17" s="342">
        <f t="shared" si="59"/>
        <v>0.25303399999999998</v>
      </c>
      <c r="GN17" s="342">
        <f t="shared" si="60"/>
        <v>0.166937</v>
      </c>
      <c r="GO17" s="342">
        <f t="shared" si="61"/>
        <v>0.61198300000000005</v>
      </c>
      <c r="GP17" s="342">
        <f t="shared" si="62"/>
        <v>1.189292</v>
      </c>
      <c r="GQ17" s="342">
        <f t="shared" si="63"/>
        <v>7.0796720000000004</v>
      </c>
      <c r="GR17" s="788">
        <f t="shared" si="80"/>
        <v>4530766</v>
      </c>
      <c r="GS17" s="716"/>
      <c r="GV17" s="718">
        <f t="shared" si="81"/>
        <v>14</v>
      </c>
      <c r="GW17" s="735">
        <v>14</v>
      </c>
      <c r="GX17" s="518" t="s">
        <v>421</v>
      </c>
      <c r="GY17" s="322" t="s">
        <v>402</v>
      </c>
      <c r="GZ17" s="924">
        <f t="shared" si="82"/>
        <v>320763.37807862269</v>
      </c>
      <c r="HA17" s="788">
        <f t="shared" si="83"/>
        <v>4530766</v>
      </c>
      <c r="HB17" s="922">
        <f t="shared" si="109"/>
        <v>7.0796720000000004</v>
      </c>
      <c r="HC17" s="942">
        <f t="shared" si="85"/>
        <v>320763.37188752001</v>
      </c>
      <c r="HD17" s="858">
        <v>1.3547623995691538E-2</v>
      </c>
      <c r="HE17" s="54"/>
      <c r="HH17" s="54"/>
      <c r="HI17" s="54"/>
      <c r="HJ17" s="54"/>
      <c r="HK17" s="54"/>
      <c r="HL17" s="54"/>
      <c r="HM17" s="54"/>
      <c r="HN17" s="54"/>
      <c r="HQ17" s="734">
        <v>14</v>
      </c>
      <c r="HR17" s="869">
        <v>14</v>
      </c>
      <c r="HS17" s="518" t="s">
        <v>421</v>
      </c>
      <c r="HT17" s="788">
        <f t="shared" si="86"/>
        <v>4530766</v>
      </c>
      <c r="HU17" s="917">
        <f t="shared" si="87"/>
        <v>7.0796720000000004</v>
      </c>
      <c r="HV17" s="870"/>
      <c r="HW17" s="768"/>
      <c r="HX17" s="870">
        <v>-1.889964</v>
      </c>
      <c r="HY17" s="769">
        <v>10</v>
      </c>
      <c r="IP17" s="734">
        <v>14</v>
      </c>
      <c r="IQ17" s="869">
        <v>14</v>
      </c>
      <c r="IR17" s="518" t="s">
        <v>421</v>
      </c>
      <c r="IS17" s="913">
        <f t="shared" si="106"/>
        <v>320763.37188752001</v>
      </c>
      <c r="IT17" s="915">
        <f t="shared" si="88"/>
        <v>4530766</v>
      </c>
      <c r="IU17" s="919">
        <f t="shared" si="89"/>
        <v>7.0796720000000004</v>
      </c>
      <c r="IV17" s="904">
        <v>0</v>
      </c>
      <c r="IW17" s="904">
        <f t="shared" si="91"/>
        <v>4530766</v>
      </c>
      <c r="IX17" s="913">
        <v>0</v>
      </c>
      <c r="IY17" s="882">
        <f t="shared" si="93"/>
        <v>320763.37188752001</v>
      </c>
      <c r="IZ17" s="928">
        <f>IU17</f>
        <v>7.0796720000000004</v>
      </c>
      <c r="JA17" s="929">
        <f>IZ17</f>
        <v>7.0796720000000004</v>
      </c>
      <c r="JB17" s="913">
        <f t="shared" si="107"/>
        <v>320763.37188752001</v>
      </c>
      <c r="JC17" s="883">
        <v>0</v>
      </c>
      <c r="JG17" s="734">
        <v>14</v>
      </c>
      <c r="JH17" s="869">
        <v>14</v>
      </c>
      <c r="JI17" s="518" t="s">
        <v>421</v>
      </c>
      <c r="JJ17" s="788">
        <f t="shared" si="96"/>
        <v>4530766</v>
      </c>
      <c r="JK17" s="917">
        <f t="shared" si="97"/>
        <v>7.0796720000000004</v>
      </c>
      <c r="JL17" s="870">
        <v>8.9960000000000004</v>
      </c>
      <c r="JM17" s="768"/>
      <c r="JN17" s="870"/>
      <c r="JO17" s="769">
        <v>10</v>
      </c>
      <c r="JT17" s="936">
        <v>5.1476399265402577</v>
      </c>
      <c r="JU17" s="936">
        <f t="shared" si="64"/>
        <v>2.2555363825402353E-2</v>
      </c>
      <c r="JV17" s="13">
        <v>96124959</v>
      </c>
      <c r="JW17" s="13">
        <f t="shared" si="65"/>
        <v>-19151.788987621665</v>
      </c>
    </row>
    <row r="18" spans="3:294" x14ac:dyDescent="0.3">
      <c r="J18" s="756">
        <v>15</v>
      </c>
      <c r="K18" s="757">
        <v>15</v>
      </c>
      <c r="L18" s="732" t="s">
        <v>422</v>
      </c>
      <c r="M18" s="904">
        <v>96105807.211012378</v>
      </c>
      <c r="N18" s="944">
        <f t="shared" si="66"/>
        <v>4.3877971849807532E-2</v>
      </c>
      <c r="O18" s="753">
        <v>1647.5553979923125</v>
      </c>
      <c r="P18" s="948">
        <f t="shared" si="67"/>
        <v>58332.367657030256</v>
      </c>
      <c r="Q18" s="733">
        <f t="shared" si="68"/>
        <v>3.3347925142234912E-2</v>
      </c>
      <c r="R18" s="758" t="s">
        <v>397</v>
      </c>
      <c r="V18" s="730">
        <f t="shared" si="98"/>
        <v>15</v>
      </c>
      <c r="W18" s="731">
        <f t="shared" si="0"/>
        <v>15</v>
      </c>
      <c r="X18" s="732" t="s">
        <v>422</v>
      </c>
      <c r="Y18" s="924">
        <f t="shared" si="69"/>
        <v>3840878.0864031641</v>
      </c>
      <c r="Z18" s="944">
        <f t="shared" si="70"/>
        <v>4.6047542266927352E-2</v>
      </c>
      <c r="AD18" s="730">
        <v>15</v>
      </c>
      <c r="AE18" s="746">
        <v>15</v>
      </c>
      <c r="AF18" s="747" t="s">
        <v>422</v>
      </c>
      <c r="AG18" s="748">
        <v>3.79</v>
      </c>
      <c r="AQ18" s="730">
        <f t="shared" si="71"/>
        <v>15</v>
      </c>
      <c r="AR18" s="783">
        <f t="shared" si="1"/>
        <v>15</v>
      </c>
      <c r="AS18" s="732" t="s">
        <v>422</v>
      </c>
      <c r="AT18" s="732">
        <f t="shared" si="2"/>
        <v>3.79</v>
      </c>
      <c r="AU18" s="784">
        <f t="shared" si="72"/>
        <v>96105807.211012378</v>
      </c>
      <c r="AV18" s="784">
        <f t="shared" si="99"/>
        <v>101178.05814714913</v>
      </c>
      <c r="AW18" s="785">
        <f t="shared" si="3"/>
        <v>105518.35978691532</v>
      </c>
      <c r="AX18" s="786">
        <f t="shared" si="4"/>
        <v>18.222331461311715</v>
      </c>
      <c r="AY18" s="379">
        <f>AW18*AX18</f>
        <v>1922790.5272911158</v>
      </c>
      <c r="AZ18" s="51">
        <f t="shared" si="73"/>
        <v>5.3591806198978784E-2</v>
      </c>
      <c r="BA18" s="53">
        <f t="shared" si="5"/>
        <v>2.000702</v>
      </c>
      <c r="BL18" s="756">
        <f t="shared" si="100"/>
        <v>15</v>
      </c>
      <c r="BM18" s="758">
        <f t="shared" si="6"/>
        <v>15</v>
      </c>
      <c r="BN18" s="732" t="s">
        <v>422</v>
      </c>
      <c r="BO18" s="733">
        <f t="shared" si="7"/>
        <v>5.3591806198978784E-2</v>
      </c>
      <c r="BP18" s="379">
        <f t="shared" si="74"/>
        <v>420995.73548514833</v>
      </c>
      <c r="BQ18" s="733">
        <f t="shared" si="8"/>
        <v>4.3877971849807532E-2</v>
      </c>
      <c r="BR18" s="379">
        <f t="shared" si="75"/>
        <v>344687.74875623349</v>
      </c>
      <c r="BS18" s="807">
        <f t="shared" si="9"/>
        <v>765683.48424138175</v>
      </c>
      <c r="BT18" s="808">
        <f t="shared" si="10"/>
        <v>0.796709</v>
      </c>
      <c r="BW18" s="1"/>
      <c r="BX18" s="10"/>
      <c r="BY18" s="10"/>
      <c r="BZ18" s="10"/>
      <c r="CA18" s="10"/>
      <c r="CB18" s="10"/>
      <c r="CC18" s="10"/>
      <c r="CD18" s="10"/>
      <c r="CE18" s="10"/>
      <c r="CI18" s="730">
        <f t="shared" si="101"/>
        <v>15</v>
      </c>
      <c r="CJ18" s="746">
        <f t="shared" si="12"/>
        <v>15</v>
      </c>
      <c r="CK18" s="732" t="s">
        <v>422</v>
      </c>
      <c r="CL18" s="733">
        <f t="shared" si="13"/>
        <v>4.3877971849807532E-2</v>
      </c>
      <c r="CM18" s="379">
        <f t="shared" si="14"/>
        <v>234933.19746625415</v>
      </c>
      <c r="CN18" s="733">
        <f t="shared" si="15"/>
        <v>3.3347925142234912E-2</v>
      </c>
      <c r="CO18" s="379">
        <f t="shared" si="16"/>
        <v>580291.51176800486</v>
      </c>
      <c r="CP18" s="379">
        <f t="shared" si="17"/>
        <v>815224.70923425897</v>
      </c>
      <c r="CQ18" s="733">
        <f t="shared" si="18"/>
        <v>3.582559979237452E-2</v>
      </c>
      <c r="CR18" s="808">
        <f t="shared" si="19"/>
        <v>0.84825700000000004</v>
      </c>
      <c r="DE18" s="1"/>
      <c r="DH18" s="730">
        <v>15</v>
      </c>
      <c r="DI18" s="840">
        <f t="shared" si="20"/>
        <v>15</v>
      </c>
      <c r="DJ18" s="732" t="s">
        <v>422</v>
      </c>
      <c r="DK18" s="733">
        <f t="shared" si="21"/>
        <v>3.582559979237452E-2</v>
      </c>
      <c r="DL18" s="379">
        <f t="shared" si="77"/>
        <v>11247.67148916234</v>
      </c>
      <c r="DM18" s="733">
        <f t="shared" si="22"/>
        <v>3.3347925142234912E-2</v>
      </c>
      <c r="DN18" s="379">
        <f t="shared" si="23"/>
        <v>64795.03829894551</v>
      </c>
      <c r="DO18" s="733">
        <f t="shared" si="24"/>
        <v>4.3877971849807532E-2</v>
      </c>
      <c r="DP18" s="379">
        <f t="shared" si="25"/>
        <v>141945.37758706929</v>
      </c>
      <c r="DQ18" s="379">
        <f t="shared" si="78"/>
        <v>217988.08737517713</v>
      </c>
      <c r="DR18" s="733">
        <f t="shared" si="26"/>
        <v>3.969222039298987E-2</v>
      </c>
      <c r="DS18" s="808">
        <f t="shared" si="27"/>
        <v>0.22682099999999999</v>
      </c>
      <c r="DW18" s="730">
        <f t="shared" si="102"/>
        <v>15</v>
      </c>
      <c r="DX18" s="840">
        <f t="shared" si="28"/>
        <v>15</v>
      </c>
      <c r="DY18" s="732" t="s">
        <v>422</v>
      </c>
      <c r="DZ18" s="733">
        <f t="shared" si="29"/>
        <v>3.3347925142234912E-2</v>
      </c>
      <c r="EA18" s="379">
        <f t="shared" si="30"/>
        <v>119191.27826123031</v>
      </c>
      <c r="EB18" s="808">
        <f t="shared" si="31"/>
        <v>0.12402100000000001</v>
      </c>
      <c r="EN18" s="730">
        <f t="shared" si="103"/>
        <v>15</v>
      </c>
      <c r="EO18" s="840">
        <f t="shared" si="32"/>
        <v>15</v>
      </c>
      <c r="EP18" s="732" t="s">
        <v>422</v>
      </c>
      <c r="EQ18" s="733">
        <f t="shared" si="33"/>
        <v>4.6047542266927352E-2</v>
      </c>
      <c r="ER18" s="379">
        <f t="shared" si="34"/>
        <v>327534.61910709547</v>
      </c>
      <c r="ES18" s="733">
        <f t="shared" si="35"/>
        <v>3.582559979237452E-2</v>
      </c>
      <c r="ET18" s="379">
        <f t="shared" si="36"/>
        <v>34357.61758360557</v>
      </c>
      <c r="EU18" s="733">
        <f t="shared" si="37"/>
        <v>4.3877971849807532E-2</v>
      </c>
      <c r="EV18" s="379">
        <f t="shared" si="38"/>
        <v>112739.268704271</v>
      </c>
      <c r="EW18" s="379">
        <f t="shared" si="39"/>
        <v>474631.50539497205</v>
      </c>
      <c r="EX18" s="733">
        <f t="shared" si="40"/>
        <v>4.4602470650969395E-2</v>
      </c>
      <c r="EY18" s="808">
        <f t="shared" si="41"/>
        <v>0.49386400000000003</v>
      </c>
      <c r="FI18" s="730">
        <f t="shared" si="104"/>
        <v>15</v>
      </c>
      <c r="FJ18" s="731">
        <f t="shared" si="42"/>
        <v>15</v>
      </c>
      <c r="FK18" s="732" t="s">
        <v>422</v>
      </c>
      <c r="FL18" s="733">
        <f t="shared" si="43"/>
        <v>4.6047542266927352E-2</v>
      </c>
      <c r="FM18" s="379">
        <f t="shared" si="44"/>
        <v>865400.40529194532</v>
      </c>
      <c r="FN18" s="808">
        <f t="shared" si="45"/>
        <v>0.90046599999999999</v>
      </c>
      <c r="FR18" s="730">
        <f t="shared" si="105"/>
        <v>15</v>
      </c>
      <c r="FS18" s="731">
        <v>15</v>
      </c>
      <c r="FT18" s="732" t="s">
        <v>422</v>
      </c>
      <c r="FU18" s="379">
        <f t="shared" si="46"/>
        <v>1922790.5272911158</v>
      </c>
      <c r="FV18" s="379">
        <f t="shared" si="47"/>
        <v>765683.48424138175</v>
      </c>
      <c r="FW18" s="379">
        <f t="shared" si="48"/>
        <v>815224.70923425897</v>
      </c>
      <c r="FX18" s="379">
        <f t="shared" si="49"/>
        <v>217988.08737517713</v>
      </c>
      <c r="FY18" s="379">
        <f t="shared" si="50"/>
        <v>119191.27826123031</v>
      </c>
      <c r="FZ18" s="379">
        <f t="shared" si="51"/>
        <v>474631.50539497205</v>
      </c>
      <c r="GA18" s="379">
        <f t="shared" si="52"/>
        <v>865400.40529194532</v>
      </c>
      <c r="GB18" s="379">
        <f t="shared" si="53"/>
        <v>5180909.9970900817</v>
      </c>
      <c r="GC18" s="852">
        <f t="shared" si="54"/>
        <v>5.3908399999999999</v>
      </c>
      <c r="GG18" s="730">
        <f t="shared" si="79"/>
        <v>15</v>
      </c>
      <c r="GH18" s="731">
        <f t="shared" si="55"/>
        <v>15</v>
      </c>
      <c r="GI18" s="732" t="s">
        <v>422</v>
      </c>
      <c r="GJ18" s="808">
        <f t="shared" si="56"/>
        <v>2.000702</v>
      </c>
      <c r="GK18" s="808">
        <f t="shared" si="57"/>
        <v>0.796709</v>
      </c>
      <c r="GL18" s="808">
        <f t="shared" si="58"/>
        <v>0.84825700000000004</v>
      </c>
      <c r="GM18" s="808">
        <f t="shared" si="59"/>
        <v>0.22682099999999999</v>
      </c>
      <c r="GN18" s="808">
        <f t="shared" si="60"/>
        <v>0.12402100000000001</v>
      </c>
      <c r="GO18" s="808">
        <f t="shared" si="61"/>
        <v>0.49386400000000003</v>
      </c>
      <c r="GP18" s="808">
        <f t="shared" si="62"/>
        <v>0.90046599999999999</v>
      </c>
      <c r="GQ18" s="808">
        <f t="shared" si="63"/>
        <v>5.3908399999999999</v>
      </c>
      <c r="GR18" s="784">
        <f t="shared" si="80"/>
        <v>96105807.211012378</v>
      </c>
      <c r="GS18" s="716"/>
      <c r="GV18" s="717">
        <f t="shared" si="81"/>
        <v>15</v>
      </c>
      <c r="GW18" s="731">
        <v>15</v>
      </c>
      <c r="GX18" s="732" t="s">
        <v>422</v>
      </c>
      <c r="GY18" s="758" t="s">
        <v>397</v>
      </c>
      <c r="GZ18" s="906">
        <f t="shared" si="82"/>
        <v>5180909.9970900817</v>
      </c>
      <c r="HA18" s="784">
        <f t="shared" si="83"/>
        <v>96105807.211012378</v>
      </c>
      <c r="HB18" s="922">
        <f t="shared" si="109"/>
        <v>5.3908399999999999</v>
      </c>
      <c r="HC18" s="942">
        <f t="shared" si="85"/>
        <v>5180910.2974541392</v>
      </c>
      <c r="HD18" s="857">
        <v>-0.15500812418758869</v>
      </c>
      <c r="HE18" s="54"/>
      <c r="HH18" s="54"/>
      <c r="HI18" s="54"/>
      <c r="HJ18" s="54"/>
      <c r="HK18" s="54"/>
      <c r="HL18" s="54"/>
      <c r="HM18" s="54"/>
      <c r="HN18" s="54"/>
      <c r="HQ18" s="730">
        <v>15</v>
      </c>
      <c r="HR18" s="867">
        <v>15</v>
      </c>
      <c r="HS18" s="732" t="s">
        <v>422</v>
      </c>
      <c r="HT18" s="784">
        <f t="shared" si="86"/>
        <v>96105807.211012378</v>
      </c>
      <c r="HU18" s="917">
        <f t="shared" si="87"/>
        <v>5.3908399999999999</v>
      </c>
      <c r="HV18" s="868"/>
      <c r="HW18" s="765"/>
      <c r="HX18" s="868">
        <v>-1.348795</v>
      </c>
      <c r="HY18" s="766">
        <v>10</v>
      </c>
      <c r="IP18" s="730">
        <v>15</v>
      </c>
      <c r="IQ18" s="867">
        <v>15</v>
      </c>
      <c r="IR18" s="732" t="s">
        <v>422</v>
      </c>
      <c r="IS18" s="913">
        <f t="shared" si="106"/>
        <v>5180910.2974541392</v>
      </c>
      <c r="IT18" s="915">
        <f t="shared" si="88"/>
        <v>96105807.211012378</v>
      </c>
      <c r="IU18" s="918">
        <f t="shared" si="89"/>
        <v>5.3908399999999999</v>
      </c>
      <c r="IV18" s="904">
        <f t="shared" ref="IV18:IV22" si="114">IT18*$IK$4/(1-$IL$4)</f>
        <v>14136825.284165099</v>
      </c>
      <c r="IW18" s="904">
        <f t="shared" si="91"/>
        <v>81968981.926847279</v>
      </c>
      <c r="IX18" s="913">
        <f t="shared" ref="IX18:IX22" si="115">IV18*$II$4</f>
        <v>212052.37926247649</v>
      </c>
      <c r="IY18" s="881">
        <f t="shared" si="93"/>
        <v>4968857.918191663</v>
      </c>
      <c r="IZ18" s="928">
        <f t="shared" ref="IZ18:IZ22" si="116">100*IY18/IT18</f>
        <v>5.1701952903656601</v>
      </c>
      <c r="JA18" s="928">
        <f t="shared" ref="JA18:JA22" si="117">IZ18+1.5</f>
        <v>6.6701952903656601</v>
      </c>
      <c r="JB18" s="913">
        <f t="shared" si="107"/>
        <v>5180910.2974541392</v>
      </c>
      <c r="JC18" s="852">
        <v>0.2222329163183332</v>
      </c>
      <c r="JG18" s="730">
        <v>15</v>
      </c>
      <c r="JH18" s="867">
        <v>15</v>
      </c>
      <c r="JI18" s="732" t="s">
        <v>422</v>
      </c>
      <c r="JJ18" s="784">
        <f t="shared" si="96"/>
        <v>96105807.211012378</v>
      </c>
      <c r="JK18" s="917">
        <f t="shared" si="97"/>
        <v>5.1701952903656601</v>
      </c>
      <c r="JL18" s="868">
        <v>6.5359999999999996</v>
      </c>
      <c r="JM18" s="765"/>
      <c r="JN18" s="868"/>
      <c r="JO18" s="766">
        <v>10</v>
      </c>
      <c r="JT18" s="936">
        <v>15.047708926540258</v>
      </c>
      <c r="JU18" s="936">
        <f t="shared" si="64"/>
        <v>7.6786363825405601E-2</v>
      </c>
      <c r="JV18" s="13">
        <v>10481200</v>
      </c>
      <c r="JW18" s="13">
        <f t="shared" si="65"/>
        <v>-58944.200936175883</v>
      </c>
    </row>
    <row r="19" spans="3:294" x14ac:dyDescent="0.3">
      <c r="C19" s="3"/>
      <c r="J19" s="338">
        <v>16</v>
      </c>
      <c r="K19" s="759">
        <v>16</v>
      </c>
      <c r="L19" s="518" t="s">
        <v>423</v>
      </c>
      <c r="M19" s="904">
        <v>10422255.799063824</v>
      </c>
      <c r="N19" s="943">
        <f t="shared" si="66"/>
        <v>4.7583747520973402E-3</v>
      </c>
      <c r="O19" s="455">
        <v>286.98366108420379</v>
      </c>
      <c r="P19" s="948">
        <f t="shared" si="67"/>
        <v>36316.547637901356</v>
      </c>
      <c r="Q19" s="659">
        <f t="shared" si="68"/>
        <v>2.0761741048705439E-2</v>
      </c>
      <c r="R19" s="322" t="s">
        <v>397</v>
      </c>
      <c r="V19" s="734">
        <f t="shared" si="98"/>
        <v>16</v>
      </c>
      <c r="W19" s="735">
        <f t="shared" si="0"/>
        <v>16</v>
      </c>
      <c r="X19" s="518" t="s">
        <v>423</v>
      </c>
      <c r="Y19" s="924">
        <f t="shared" si="69"/>
        <v>1198532.6851538981</v>
      </c>
      <c r="Z19" s="943">
        <f t="shared" si="70"/>
        <v>1.4368975853019304E-2</v>
      </c>
      <c r="AD19" s="734">
        <v>16</v>
      </c>
      <c r="AE19" s="146">
        <v>16</v>
      </c>
      <c r="AF19" s="347" t="s">
        <v>423</v>
      </c>
      <c r="AG19" s="369">
        <v>9.5299999999999994</v>
      </c>
      <c r="AQ19" s="734">
        <f t="shared" si="71"/>
        <v>16</v>
      </c>
      <c r="AR19" s="787">
        <f t="shared" si="1"/>
        <v>16</v>
      </c>
      <c r="AS19" s="518" t="s">
        <v>423</v>
      </c>
      <c r="AT19" s="518">
        <f t="shared" si="2"/>
        <v>9.5299999999999994</v>
      </c>
      <c r="AU19" s="788">
        <f t="shared" si="72"/>
        <v>10422255.799063824</v>
      </c>
      <c r="AV19" s="788">
        <f t="shared" si="99"/>
        <v>27590.027156966175</v>
      </c>
      <c r="AW19" s="789">
        <f t="shared" si="3"/>
        <v>28773.574680050831</v>
      </c>
      <c r="AX19" s="790">
        <f t="shared" si="4"/>
        <v>18.222331461311715</v>
      </c>
      <c r="AY19" s="358">
        <f t="shared" si="108"/>
        <v>524321.61514669238</v>
      </c>
      <c r="AZ19" s="35">
        <f t="shared" si="73"/>
        <v>1.4613834417243704E-2</v>
      </c>
      <c r="BA19" s="55">
        <f t="shared" si="5"/>
        <v>5.0307880000000003</v>
      </c>
      <c r="BL19" s="338">
        <f t="shared" si="100"/>
        <v>16</v>
      </c>
      <c r="BM19" s="322">
        <f t="shared" si="6"/>
        <v>16</v>
      </c>
      <c r="BN19" s="518" t="s">
        <v>423</v>
      </c>
      <c r="BO19" s="659">
        <f t="shared" si="7"/>
        <v>1.4613834417243704E-2</v>
      </c>
      <c r="BP19" s="358">
        <f t="shared" si="74"/>
        <v>114800.4220253902</v>
      </c>
      <c r="BQ19" s="659">
        <f t="shared" si="8"/>
        <v>4.7583747520973402E-3</v>
      </c>
      <c r="BR19" s="358">
        <f t="shared" si="75"/>
        <v>37379.883615703795</v>
      </c>
      <c r="BS19" s="809">
        <f t="shared" si="9"/>
        <v>152180.30564109399</v>
      </c>
      <c r="BT19" s="810">
        <f t="shared" si="10"/>
        <v>1.4601470000000001</v>
      </c>
      <c r="BW19" s="1"/>
      <c r="BX19" s="10"/>
      <c r="BY19" s="10"/>
      <c r="BZ19" s="10"/>
      <c r="CA19" s="10"/>
      <c r="CB19" s="10"/>
      <c r="CC19" s="10"/>
      <c r="CD19" s="10"/>
      <c r="CE19" s="10"/>
      <c r="CI19" s="734">
        <f t="shared" si="101"/>
        <v>16</v>
      </c>
      <c r="CJ19" s="146">
        <f t="shared" si="12"/>
        <v>16</v>
      </c>
      <c r="CK19" s="518" t="s">
        <v>423</v>
      </c>
      <c r="CL19" s="344">
        <f t="shared" si="13"/>
        <v>4.7583747520973402E-3</v>
      </c>
      <c r="CM19" s="20">
        <f t="shared" si="14"/>
        <v>25477.481025774126</v>
      </c>
      <c r="CN19" s="344">
        <f t="shared" si="15"/>
        <v>2.0761741048705439E-2</v>
      </c>
      <c r="CO19" s="20">
        <f t="shared" si="16"/>
        <v>361277.7121425941</v>
      </c>
      <c r="CP19" s="20">
        <f t="shared" si="17"/>
        <v>386755.19316836825</v>
      </c>
      <c r="CQ19" s="344">
        <f t="shared" si="18"/>
        <v>1.6996217866221401E-2</v>
      </c>
      <c r="CR19" s="342">
        <f t="shared" si="19"/>
        <v>3.7108590000000001</v>
      </c>
      <c r="DE19" s="1"/>
      <c r="DH19" s="734">
        <v>16</v>
      </c>
      <c r="DI19" s="745">
        <f t="shared" si="20"/>
        <v>16</v>
      </c>
      <c r="DJ19" s="518" t="s">
        <v>423</v>
      </c>
      <c r="DK19" s="344">
        <f t="shared" si="21"/>
        <v>1.6996217866221401E-2</v>
      </c>
      <c r="DL19" s="20">
        <f t="shared" si="77"/>
        <v>5336.0690742204997</v>
      </c>
      <c r="DM19" s="344">
        <f t="shared" si="22"/>
        <v>2.0761741048705439E-2</v>
      </c>
      <c r="DN19" s="20">
        <f t="shared" si="23"/>
        <v>40340.075152078905</v>
      </c>
      <c r="DO19" s="344">
        <f t="shared" si="24"/>
        <v>4.7583747520973402E-3</v>
      </c>
      <c r="DP19" s="20">
        <f t="shared" si="25"/>
        <v>15393.357359341962</v>
      </c>
      <c r="DQ19" s="20">
        <f t="shared" si="78"/>
        <v>61069.501585641367</v>
      </c>
      <c r="DR19" s="344">
        <f t="shared" si="26"/>
        <v>1.1119800835976079E-2</v>
      </c>
      <c r="DS19" s="342">
        <f t="shared" si="27"/>
        <v>0.58595299999999995</v>
      </c>
      <c r="DW19" s="734">
        <f t="shared" si="102"/>
        <v>16</v>
      </c>
      <c r="DX19" s="745">
        <f t="shared" si="28"/>
        <v>16</v>
      </c>
      <c r="DY19" s="518" t="s">
        <v>423</v>
      </c>
      <c r="DZ19" s="344">
        <f t="shared" si="29"/>
        <v>2.0761741048705439E-2</v>
      </c>
      <c r="EA19" s="20">
        <f t="shared" si="30"/>
        <v>74206.069612102219</v>
      </c>
      <c r="EB19" s="342">
        <f t="shared" si="31"/>
        <v>0.71199599999999996</v>
      </c>
      <c r="EN19" s="734">
        <f t="shared" si="103"/>
        <v>16</v>
      </c>
      <c r="EO19" s="745">
        <f t="shared" si="32"/>
        <v>16</v>
      </c>
      <c r="EP19" s="518" t="s">
        <v>423</v>
      </c>
      <c r="EQ19" s="344">
        <f t="shared" si="33"/>
        <v>1.4368975853019304E-2</v>
      </c>
      <c r="ER19" s="20">
        <f t="shared" si="34"/>
        <v>102206.04187072878</v>
      </c>
      <c r="ES19" s="344">
        <f t="shared" si="35"/>
        <v>1.6996217866221401E-2</v>
      </c>
      <c r="ET19" s="20">
        <f t="shared" si="36"/>
        <v>16299.784433464622</v>
      </c>
      <c r="EU19" s="344">
        <f t="shared" si="37"/>
        <v>4.7583747520973402E-3</v>
      </c>
      <c r="EV19" s="20">
        <f t="shared" si="38"/>
        <v>12226.082181022095</v>
      </c>
      <c r="EW19" s="20">
        <f t="shared" si="39"/>
        <v>130731.90848521549</v>
      </c>
      <c r="EX19" s="344">
        <f t="shared" si="40"/>
        <v>1.2285248756305612E-2</v>
      </c>
      <c r="EY19" s="342">
        <f t="shared" si="41"/>
        <v>1.2543530000000001</v>
      </c>
      <c r="FI19" s="734">
        <f t="shared" si="104"/>
        <v>16</v>
      </c>
      <c r="FJ19" s="735">
        <f t="shared" si="42"/>
        <v>16</v>
      </c>
      <c r="FK19" s="518" t="s">
        <v>423</v>
      </c>
      <c r="FL19" s="344">
        <f t="shared" si="43"/>
        <v>1.4368975853019304E-2</v>
      </c>
      <c r="FM19" s="20">
        <f t="shared" si="44"/>
        <v>270045.1949150865</v>
      </c>
      <c r="FN19" s="342">
        <f t="shared" si="45"/>
        <v>2.5910440000000001</v>
      </c>
      <c r="FR19" s="734">
        <f t="shared" si="105"/>
        <v>16</v>
      </c>
      <c r="FS19" s="735">
        <v>16</v>
      </c>
      <c r="FT19" s="518" t="s">
        <v>423</v>
      </c>
      <c r="FU19" s="20">
        <f t="shared" si="46"/>
        <v>524321.61514669238</v>
      </c>
      <c r="FV19" s="20">
        <f t="shared" si="47"/>
        <v>152180.30564109399</v>
      </c>
      <c r="FW19" s="20">
        <f t="shared" si="48"/>
        <v>386755.19316836825</v>
      </c>
      <c r="FX19" s="20">
        <f t="shared" si="49"/>
        <v>61069.501585641367</v>
      </c>
      <c r="FY19" s="20">
        <f t="shared" si="50"/>
        <v>74206.069612102219</v>
      </c>
      <c r="FZ19" s="20">
        <f t="shared" si="51"/>
        <v>130731.90848521549</v>
      </c>
      <c r="GA19" s="20">
        <f t="shared" si="52"/>
        <v>270045.1949150865</v>
      </c>
      <c r="GB19" s="20">
        <f t="shared" si="53"/>
        <v>1599309.7885542</v>
      </c>
      <c r="GC19" s="414">
        <f t="shared" si="54"/>
        <v>15.345140000000001</v>
      </c>
      <c r="GG19" s="734">
        <f t="shared" si="79"/>
        <v>16</v>
      </c>
      <c r="GH19" s="735">
        <f t="shared" si="55"/>
        <v>16</v>
      </c>
      <c r="GI19" s="518" t="s">
        <v>423</v>
      </c>
      <c r="GJ19" s="342">
        <f t="shared" si="56"/>
        <v>5.0307880000000003</v>
      </c>
      <c r="GK19" s="342">
        <f t="shared" si="57"/>
        <v>1.4601470000000001</v>
      </c>
      <c r="GL19" s="342">
        <f t="shared" si="58"/>
        <v>3.7108590000000001</v>
      </c>
      <c r="GM19" s="342">
        <f t="shared" si="59"/>
        <v>0.58595299999999995</v>
      </c>
      <c r="GN19" s="342">
        <f t="shared" si="60"/>
        <v>0.71199599999999996</v>
      </c>
      <c r="GO19" s="342">
        <f t="shared" si="61"/>
        <v>1.2543530000000001</v>
      </c>
      <c r="GP19" s="342">
        <f t="shared" si="62"/>
        <v>2.5910440000000001</v>
      </c>
      <c r="GQ19" s="342">
        <f t="shared" si="63"/>
        <v>15.345140000000001</v>
      </c>
      <c r="GR19" s="788">
        <f t="shared" si="80"/>
        <v>10422255.799063824</v>
      </c>
      <c r="GS19" s="716"/>
      <c r="GV19" s="718">
        <f t="shared" si="81"/>
        <v>16</v>
      </c>
      <c r="GW19" s="735">
        <v>16</v>
      </c>
      <c r="GX19" s="518" t="s">
        <v>423</v>
      </c>
      <c r="GY19" s="322" t="s">
        <v>397</v>
      </c>
      <c r="GZ19" s="924">
        <f t="shared" si="82"/>
        <v>1599309.7885542</v>
      </c>
      <c r="HA19" s="788">
        <f t="shared" si="83"/>
        <v>10422255.799063824</v>
      </c>
      <c r="HB19" s="922">
        <f t="shared" si="109"/>
        <v>15.345140000000001</v>
      </c>
      <c r="HC19" s="942">
        <f t="shared" si="85"/>
        <v>1599309.7435244627</v>
      </c>
      <c r="HD19" s="858">
        <v>4.8506769118830562E-2</v>
      </c>
      <c r="HE19" s="54"/>
      <c r="HH19" s="54"/>
      <c r="HI19" s="54"/>
      <c r="HJ19" s="54"/>
      <c r="HK19" s="54"/>
      <c r="HL19" s="54"/>
      <c r="HM19" s="54"/>
      <c r="HN19" s="54"/>
      <c r="HQ19" s="734">
        <v>16</v>
      </c>
      <c r="HR19" s="869">
        <v>16</v>
      </c>
      <c r="HS19" s="518" t="s">
        <v>423</v>
      </c>
      <c r="HT19" s="788">
        <f t="shared" si="86"/>
        <v>10422255.799063824</v>
      </c>
      <c r="HU19" s="917">
        <f t="shared" si="87"/>
        <v>15.345140000000001</v>
      </c>
      <c r="HV19" s="870"/>
      <c r="HW19" s="768"/>
      <c r="HX19" s="870">
        <v>-2.936674</v>
      </c>
      <c r="HY19" s="769">
        <v>25</v>
      </c>
      <c r="IP19" s="734">
        <v>16</v>
      </c>
      <c r="IQ19" s="869">
        <v>16</v>
      </c>
      <c r="IR19" s="518" t="s">
        <v>423</v>
      </c>
      <c r="IS19" s="913">
        <f t="shared" si="106"/>
        <v>1599309.7435244627</v>
      </c>
      <c r="IT19" s="915">
        <f t="shared" si="88"/>
        <v>10422255.799063824</v>
      </c>
      <c r="IU19" s="919">
        <f t="shared" si="89"/>
        <v>15.345140000000001</v>
      </c>
      <c r="IV19" s="904">
        <f t="shared" si="114"/>
        <v>1533077.0696794998</v>
      </c>
      <c r="IW19" s="904">
        <f t="shared" si="91"/>
        <v>8889178.7293843236</v>
      </c>
      <c r="IX19" s="913">
        <f t="shared" si="115"/>
        <v>22996.156045192496</v>
      </c>
      <c r="IY19" s="882">
        <f t="shared" si="93"/>
        <v>1576313.5874792703</v>
      </c>
      <c r="IZ19" s="928">
        <f t="shared" si="116"/>
        <v>15.124495290365664</v>
      </c>
      <c r="JA19" s="928">
        <f t="shared" si="117"/>
        <v>16.624495290365665</v>
      </c>
      <c r="JB19" s="913">
        <f t="shared" si="107"/>
        <v>1599309.7435244629</v>
      </c>
      <c r="JC19" s="883">
        <v>0.22223353732126583</v>
      </c>
      <c r="JG19" s="734">
        <v>16</v>
      </c>
      <c r="JH19" s="869">
        <v>16</v>
      </c>
      <c r="JI19" s="518" t="s">
        <v>423</v>
      </c>
      <c r="JJ19" s="788">
        <f t="shared" si="96"/>
        <v>10422255.799063824</v>
      </c>
      <c r="JK19" s="917">
        <f t="shared" si="97"/>
        <v>15.124495290365664</v>
      </c>
      <c r="JL19" s="870">
        <v>18.120999999999999</v>
      </c>
      <c r="JM19" s="768"/>
      <c r="JN19" s="870"/>
      <c r="JO19" s="769">
        <v>25</v>
      </c>
      <c r="JT19" s="936">
        <v>4.4647209265402585</v>
      </c>
      <c r="JU19" s="936">
        <f t="shared" si="64"/>
        <v>2.1433363825401841E-2</v>
      </c>
      <c r="JV19" s="13">
        <v>538975887</v>
      </c>
      <c r="JW19" s="13">
        <f t="shared" si="65"/>
        <v>-1466127.4070734978</v>
      </c>
    </row>
    <row r="20" spans="3:294" x14ac:dyDescent="0.3">
      <c r="J20" s="756">
        <v>17</v>
      </c>
      <c r="K20" s="757">
        <v>17</v>
      </c>
      <c r="L20" s="732" t="s">
        <v>424</v>
      </c>
      <c r="M20" s="904">
        <v>537509759.5929265</v>
      </c>
      <c r="N20" s="944">
        <f t="shared" si="66"/>
        <v>0.24540492177160292</v>
      </c>
      <c r="O20" s="753">
        <v>1278.7476178425782</v>
      </c>
      <c r="P20" s="948">
        <f t="shared" si="67"/>
        <v>420340.77099574881</v>
      </c>
      <c r="Q20" s="733">
        <f t="shared" si="68"/>
        <v>0.24030385064793683</v>
      </c>
      <c r="R20" s="758" t="s">
        <v>397</v>
      </c>
      <c r="V20" s="730">
        <f t="shared" si="98"/>
        <v>17</v>
      </c>
      <c r="W20" s="731">
        <f t="shared" si="0"/>
        <v>17</v>
      </c>
      <c r="X20" s="732" t="s">
        <v>424</v>
      </c>
      <c r="Y20" s="924">
        <f t="shared" si="69"/>
        <v>18646084.772698693</v>
      </c>
      <c r="Z20" s="944">
        <f t="shared" si="70"/>
        <v>0.22354429309356333</v>
      </c>
      <c r="AD20" s="730">
        <v>17</v>
      </c>
      <c r="AE20" s="746">
        <v>17</v>
      </c>
      <c r="AF20" s="747" t="s">
        <v>424</v>
      </c>
      <c r="AG20" s="748">
        <v>2.61</v>
      </c>
      <c r="AQ20" s="730">
        <f t="shared" si="71"/>
        <v>17</v>
      </c>
      <c r="AR20" s="783">
        <f t="shared" si="1"/>
        <v>17</v>
      </c>
      <c r="AS20" s="732" t="s">
        <v>424</v>
      </c>
      <c r="AT20" s="732">
        <f t="shared" si="2"/>
        <v>2.61</v>
      </c>
      <c r="AU20" s="784">
        <f t="shared" si="72"/>
        <v>537509759.5929265</v>
      </c>
      <c r="AV20" s="784">
        <f t="shared" si="99"/>
        <v>389694.57570487168</v>
      </c>
      <c r="AW20" s="785">
        <f t="shared" si="3"/>
        <v>406411.55996918667</v>
      </c>
      <c r="AX20" s="786">
        <f t="shared" si="4"/>
        <v>18.222331461311715</v>
      </c>
      <c r="AY20" s="379">
        <f t="shared" si="108"/>
        <v>7405766.155467283</v>
      </c>
      <c r="AZ20" s="51">
        <f t="shared" si="73"/>
        <v>0.20641270014883364</v>
      </c>
      <c r="BA20" s="53">
        <f t="shared" si="5"/>
        <v>1.3777919999999999</v>
      </c>
      <c r="BL20" s="756">
        <f t="shared" si="100"/>
        <v>17</v>
      </c>
      <c r="BM20" s="758">
        <f t="shared" si="6"/>
        <v>17</v>
      </c>
      <c r="BN20" s="732" t="s">
        <v>424</v>
      </c>
      <c r="BO20" s="733">
        <f t="shared" si="7"/>
        <v>0.20641270014883364</v>
      </c>
      <c r="BP20" s="379">
        <f t="shared" si="74"/>
        <v>1621495.3866266501</v>
      </c>
      <c r="BQ20" s="733">
        <f t="shared" si="8"/>
        <v>0.24540492177160292</v>
      </c>
      <c r="BR20" s="379">
        <f t="shared" si="75"/>
        <v>1927802.6411224029</v>
      </c>
      <c r="BS20" s="807">
        <f t="shared" si="9"/>
        <v>3549298.0277490532</v>
      </c>
      <c r="BT20" s="808">
        <f t="shared" si="10"/>
        <v>0.66032299999999999</v>
      </c>
      <c r="BW20" s="1"/>
      <c r="BX20" s="10"/>
      <c r="BY20" s="10"/>
      <c r="BZ20" s="10"/>
      <c r="CA20" s="10"/>
      <c r="CB20" s="10"/>
      <c r="CC20" s="10"/>
      <c r="CD20" s="10"/>
      <c r="CE20" s="10"/>
      <c r="CI20" s="730">
        <f t="shared" si="101"/>
        <v>17</v>
      </c>
      <c r="CJ20" s="746">
        <f t="shared" si="12"/>
        <v>17</v>
      </c>
      <c r="CK20" s="732" t="s">
        <v>424</v>
      </c>
      <c r="CL20" s="733">
        <f t="shared" si="13"/>
        <v>0.24540492177160292</v>
      </c>
      <c r="CM20" s="379">
        <f t="shared" si="14"/>
        <v>1313956.8789347208</v>
      </c>
      <c r="CN20" s="733">
        <f t="shared" si="15"/>
        <v>0.24030385064793683</v>
      </c>
      <c r="CO20" s="379">
        <f t="shared" si="16"/>
        <v>4181558.0484063271</v>
      </c>
      <c r="CP20" s="379">
        <f t="shared" si="17"/>
        <v>5495514.9273410477</v>
      </c>
      <c r="CQ20" s="733">
        <f t="shared" si="18"/>
        <v>0.24150411071920294</v>
      </c>
      <c r="CR20" s="808">
        <f t="shared" si="19"/>
        <v>1.022403</v>
      </c>
      <c r="DE20" s="1"/>
      <c r="DH20" s="730">
        <v>17</v>
      </c>
      <c r="DI20" s="840">
        <f t="shared" si="20"/>
        <v>17</v>
      </c>
      <c r="DJ20" s="732" t="s">
        <v>424</v>
      </c>
      <c r="DK20" s="733">
        <f t="shared" si="21"/>
        <v>0.24150411071920294</v>
      </c>
      <c r="DL20" s="379">
        <f t="shared" si="77"/>
        <v>75821.728495668081</v>
      </c>
      <c r="DM20" s="733">
        <f t="shared" si="22"/>
        <v>0.24030385064793683</v>
      </c>
      <c r="DN20" s="379">
        <f t="shared" si="23"/>
        <v>466910.52410925628</v>
      </c>
      <c r="DO20" s="733">
        <f t="shared" si="24"/>
        <v>0.24540492177160292</v>
      </c>
      <c r="DP20" s="379">
        <f t="shared" si="25"/>
        <v>793885.69740258355</v>
      </c>
      <c r="DQ20" s="379">
        <f t="shared" si="78"/>
        <v>1336617.950007508</v>
      </c>
      <c r="DR20" s="733">
        <f t="shared" si="26"/>
        <v>0.24337721795601958</v>
      </c>
      <c r="DS20" s="808">
        <f t="shared" si="27"/>
        <v>0.248669</v>
      </c>
      <c r="DW20" s="730">
        <f t="shared" si="102"/>
        <v>17</v>
      </c>
      <c r="DX20" s="840">
        <f t="shared" si="28"/>
        <v>17</v>
      </c>
      <c r="DY20" s="732" t="s">
        <v>424</v>
      </c>
      <c r="DZ20" s="733">
        <f t="shared" si="29"/>
        <v>0.24030385064793683</v>
      </c>
      <c r="EA20" s="379">
        <f t="shared" si="30"/>
        <v>858887.71213379991</v>
      </c>
      <c r="EB20" s="808">
        <f t="shared" si="31"/>
        <v>0.15978999999999999</v>
      </c>
      <c r="EN20" s="730">
        <f t="shared" si="103"/>
        <v>17</v>
      </c>
      <c r="EO20" s="840">
        <f t="shared" si="32"/>
        <v>17</v>
      </c>
      <c r="EP20" s="732" t="s">
        <v>424</v>
      </c>
      <c r="EQ20" s="733">
        <f t="shared" si="33"/>
        <v>0.22354429309356333</v>
      </c>
      <c r="ER20" s="379">
        <f t="shared" si="34"/>
        <v>1590063.0367530554</v>
      </c>
      <c r="ES20" s="733">
        <f t="shared" si="35"/>
        <v>0.24150411071920294</v>
      </c>
      <c r="ET20" s="379">
        <f t="shared" si="36"/>
        <v>231608.28929723147</v>
      </c>
      <c r="EU20" s="733">
        <f t="shared" si="37"/>
        <v>0.24540492177160292</v>
      </c>
      <c r="EV20" s="379">
        <f t="shared" si="38"/>
        <v>630538.97549461841</v>
      </c>
      <c r="EW20" s="379">
        <f t="shared" si="39"/>
        <v>2452210.3015449052</v>
      </c>
      <c r="EX20" s="733">
        <f t="shared" si="40"/>
        <v>0.23044116701364697</v>
      </c>
      <c r="EY20" s="808">
        <f t="shared" si="41"/>
        <v>0.45621699999999998</v>
      </c>
      <c r="FI20" s="730">
        <f t="shared" si="104"/>
        <v>17</v>
      </c>
      <c r="FJ20" s="731">
        <f t="shared" si="42"/>
        <v>17</v>
      </c>
      <c r="FK20" s="732" t="s">
        <v>424</v>
      </c>
      <c r="FL20" s="733">
        <f t="shared" si="43"/>
        <v>0.22354429309356333</v>
      </c>
      <c r="FM20" s="379">
        <f t="shared" si="44"/>
        <v>4201208.4102654969</v>
      </c>
      <c r="FN20" s="808">
        <f t="shared" si="45"/>
        <v>0.78160600000000002</v>
      </c>
      <c r="FR20" s="730">
        <f t="shared" si="105"/>
        <v>17</v>
      </c>
      <c r="FS20" s="731">
        <v>17</v>
      </c>
      <c r="FT20" s="732" t="s">
        <v>424</v>
      </c>
      <c r="FU20" s="379">
        <f t="shared" si="46"/>
        <v>7405766.155467283</v>
      </c>
      <c r="FV20" s="379">
        <f t="shared" si="47"/>
        <v>3549298.0277490532</v>
      </c>
      <c r="FW20" s="379">
        <f t="shared" si="48"/>
        <v>5495514.9273410477</v>
      </c>
      <c r="FX20" s="379">
        <f t="shared" si="49"/>
        <v>1336617.950007508</v>
      </c>
      <c r="FY20" s="379">
        <f t="shared" si="50"/>
        <v>858887.71213379991</v>
      </c>
      <c r="FZ20" s="379">
        <f t="shared" si="51"/>
        <v>2452210.3015449052</v>
      </c>
      <c r="GA20" s="379">
        <f t="shared" si="52"/>
        <v>4201208.4102654969</v>
      </c>
      <c r="GB20" s="379">
        <f t="shared" si="53"/>
        <v>25299503.484509096</v>
      </c>
      <c r="GC20" s="852">
        <f t="shared" si="54"/>
        <v>4.7067990000000002</v>
      </c>
      <c r="GG20" s="730">
        <f t="shared" si="79"/>
        <v>17</v>
      </c>
      <c r="GH20" s="731">
        <f t="shared" si="55"/>
        <v>17</v>
      </c>
      <c r="GI20" s="732" t="s">
        <v>424</v>
      </c>
      <c r="GJ20" s="808">
        <f t="shared" si="56"/>
        <v>1.3777919999999999</v>
      </c>
      <c r="GK20" s="808">
        <f t="shared" si="57"/>
        <v>0.66032299999999999</v>
      </c>
      <c r="GL20" s="808">
        <f t="shared" si="58"/>
        <v>1.022403</v>
      </c>
      <c r="GM20" s="808">
        <f t="shared" si="59"/>
        <v>0.248669</v>
      </c>
      <c r="GN20" s="808">
        <f t="shared" si="60"/>
        <v>0.15978999999999999</v>
      </c>
      <c r="GO20" s="808">
        <f t="shared" si="61"/>
        <v>0.45621699999999998</v>
      </c>
      <c r="GP20" s="808">
        <f t="shared" si="62"/>
        <v>0.78160600000000002</v>
      </c>
      <c r="GQ20" s="808">
        <f t="shared" si="63"/>
        <v>4.7067990000000002</v>
      </c>
      <c r="GR20" s="784">
        <f t="shared" si="80"/>
        <v>537509759.5929265</v>
      </c>
      <c r="GS20" s="716"/>
      <c r="GV20" s="717">
        <f t="shared" si="81"/>
        <v>17</v>
      </c>
      <c r="GW20" s="731">
        <v>17</v>
      </c>
      <c r="GX20" s="732" t="s">
        <v>424</v>
      </c>
      <c r="GY20" s="758" t="s">
        <v>397</v>
      </c>
      <c r="GZ20" s="906">
        <f t="shared" si="82"/>
        <v>25299503.484509096</v>
      </c>
      <c r="HA20" s="784">
        <f t="shared" si="83"/>
        <v>537509759.5929265</v>
      </c>
      <c r="HB20" s="922">
        <f t="shared" si="109"/>
        <v>4.7067990000000002</v>
      </c>
      <c r="HC20" s="942">
        <f t="shared" si="85"/>
        <v>25299503.989422269</v>
      </c>
      <c r="HD20" s="857">
        <v>0.65198250114917755</v>
      </c>
      <c r="HE20" s="54"/>
      <c r="HH20" s="54"/>
      <c r="HI20" s="54"/>
      <c r="HJ20" s="54"/>
      <c r="HK20" s="54"/>
      <c r="HL20" s="54"/>
      <c r="HM20" s="54"/>
      <c r="HN20" s="54"/>
      <c r="HQ20" s="730">
        <v>17</v>
      </c>
      <c r="HR20" s="867">
        <v>17</v>
      </c>
      <c r="HS20" s="732" t="s">
        <v>424</v>
      </c>
      <c r="HT20" s="784">
        <f t="shared" si="86"/>
        <v>537509759.5929265</v>
      </c>
      <c r="HU20" s="917">
        <f t="shared" si="87"/>
        <v>4.7067990000000002</v>
      </c>
      <c r="HV20" s="868"/>
      <c r="HW20" s="765"/>
      <c r="HX20" s="868">
        <v>-0.96015999999999924</v>
      </c>
      <c r="HY20" s="766">
        <v>10</v>
      </c>
      <c r="IP20" s="730">
        <v>17</v>
      </c>
      <c r="IQ20" s="867">
        <v>17</v>
      </c>
      <c r="IR20" s="732" t="s">
        <v>424</v>
      </c>
      <c r="IS20" s="913">
        <f t="shared" si="106"/>
        <v>25299503.989422269</v>
      </c>
      <c r="IT20" s="915">
        <f t="shared" si="88"/>
        <v>537509759.5929265</v>
      </c>
      <c r="IU20" s="918">
        <f t="shared" si="89"/>
        <v>4.7067990000000002</v>
      </c>
      <c r="IV20" s="904">
        <f t="shared" si="114"/>
        <v>79065789.887336642</v>
      </c>
      <c r="IW20" s="904">
        <f t="shared" si="91"/>
        <v>458443969.70558989</v>
      </c>
      <c r="IX20" s="913">
        <f t="shared" si="115"/>
        <v>1185986.8483100496</v>
      </c>
      <c r="IY20" s="881">
        <f t="shared" si="93"/>
        <v>24113517.14111222</v>
      </c>
      <c r="IZ20" s="928">
        <f t="shared" si="116"/>
        <v>4.4861542903656604</v>
      </c>
      <c r="JA20" s="928">
        <f t="shared" si="117"/>
        <v>5.9861542903656604</v>
      </c>
      <c r="JB20" s="913">
        <f t="shared" si="107"/>
        <v>25299503.989422273</v>
      </c>
      <c r="JC20" s="852">
        <v>0.22223321089288017</v>
      </c>
      <c r="JG20" s="730">
        <v>17</v>
      </c>
      <c r="JH20" s="867">
        <v>17</v>
      </c>
      <c r="JI20" s="732" t="s">
        <v>424</v>
      </c>
      <c r="JJ20" s="784">
        <f t="shared" si="96"/>
        <v>537509759.5929265</v>
      </c>
      <c r="JK20" s="917">
        <f t="shared" si="97"/>
        <v>4.4861542903656604</v>
      </c>
      <c r="JL20" s="868">
        <v>5.4630000000000001</v>
      </c>
      <c r="JM20" s="765"/>
      <c r="JN20" s="868"/>
      <c r="JO20" s="766">
        <v>10</v>
      </c>
      <c r="JT20" s="936">
        <v>12.928700926540257</v>
      </c>
      <c r="JU20" s="936">
        <f t="shared" si="64"/>
        <v>6.4649363825406425E-2</v>
      </c>
      <c r="JV20" s="13">
        <v>54165023</v>
      </c>
      <c r="JW20" s="13">
        <f t="shared" si="65"/>
        <v>-304845.37893735617</v>
      </c>
    </row>
    <row r="21" spans="3:294" x14ac:dyDescent="0.3">
      <c r="J21" s="338">
        <v>18</v>
      </c>
      <c r="K21" s="759">
        <v>18</v>
      </c>
      <c r="L21" s="518" t="s">
        <v>425</v>
      </c>
      <c r="M21" s="904">
        <v>53860177.621062644</v>
      </c>
      <c r="N21" s="943">
        <f t="shared" si="66"/>
        <v>2.4590349179355542E-2</v>
      </c>
      <c r="O21" s="455">
        <v>358.03166090709647</v>
      </c>
      <c r="P21" s="948">
        <f t="shared" si="67"/>
        <v>150434.1193865492</v>
      </c>
      <c r="Q21" s="659">
        <f t="shared" si="68"/>
        <v>8.6001408028498913E-2</v>
      </c>
      <c r="R21" s="322" t="s">
        <v>397</v>
      </c>
      <c r="V21" s="734">
        <f t="shared" si="98"/>
        <v>18</v>
      </c>
      <c r="W21" s="735">
        <f t="shared" si="0"/>
        <v>18</v>
      </c>
      <c r="X21" s="518" t="s">
        <v>425</v>
      </c>
      <c r="Y21" s="924">
        <f t="shared" si="69"/>
        <v>5329877.3287348831</v>
      </c>
      <c r="Z21" s="943">
        <f t="shared" si="70"/>
        <v>6.3898865324905726E-2</v>
      </c>
      <c r="AD21" s="734">
        <v>18</v>
      </c>
      <c r="AE21" s="146">
        <v>18</v>
      </c>
      <c r="AF21" s="347" t="s">
        <v>425</v>
      </c>
      <c r="AG21" s="369">
        <v>8.4600000000000009</v>
      </c>
      <c r="AQ21" s="734">
        <f t="shared" si="71"/>
        <v>18</v>
      </c>
      <c r="AR21" s="787">
        <f t="shared" si="1"/>
        <v>18</v>
      </c>
      <c r="AS21" s="518" t="s">
        <v>425</v>
      </c>
      <c r="AT21" s="518">
        <f t="shared" si="2"/>
        <v>8.4600000000000009</v>
      </c>
      <c r="AU21" s="788">
        <f t="shared" si="72"/>
        <v>53860177.621062644</v>
      </c>
      <c r="AV21" s="788">
        <f>AU21*AT21/3600</f>
        <v>126571.41740949721</v>
      </c>
      <c r="AW21" s="789">
        <f t="shared" si="3"/>
        <v>132001.03466634362</v>
      </c>
      <c r="AX21" s="790">
        <f t="shared" si="4"/>
        <v>18.222331461311715</v>
      </c>
      <c r="AY21" s="358">
        <f t="shared" si="108"/>
        <v>2405366.6069262116</v>
      </c>
      <c r="AZ21" s="35">
        <f t="shared" si="73"/>
        <v>6.704211363964542E-2</v>
      </c>
      <c r="BA21" s="55">
        <f t="shared" si="5"/>
        <v>4.4659459999999997</v>
      </c>
      <c r="BL21" s="338">
        <f t="shared" si="100"/>
        <v>18</v>
      </c>
      <c r="BM21" s="322">
        <f t="shared" si="6"/>
        <v>18</v>
      </c>
      <c r="BN21" s="518" t="s">
        <v>425</v>
      </c>
      <c r="BO21" s="659">
        <f t="shared" si="7"/>
        <v>6.704211363964542E-2</v>
      </c>
      <c r="BP21" s="358">
        <f t="shared" si="74"/>
        <v>526655.95623719157</v>
      </c>
      <c r="BQ21" s="659">
        <f t="shared" si="8"/>
        <v>2.4590349179355542E-2</v>
      </c>
      <c r="BR21" s="358">
        <f t="shared" si="75"/>
        <v>193171.92072538639</v>
      </c>
      <c r="BS21" s="809">
        <f t="shared" si="9"/>
        <v>719827.87696257792</v>
      </c>
      <c r="BT21" s="810">
        <f>IF($AU21=0,0,ROUND(IF(VLOOKUP(BM21,$AR$4:$AU$27,$BA$30,FALSE)&lt;&gt;0,BS21/VLOOKUP(BM21,$AR$4:$AU$27,$BA$30,FALSE)*100,""),6))</f>
        <v>1.3364750000000001</v>
      </c>
      <c r="BW21" s="1"/>
      <c r="BX21" s="10"/>
      <c r="BY21" s="10"/>
      <c r="BZ21" s="10"/>
      <c r="CA21" s="10"/>
      <c r="CB21" s="10"/>
      <c r="CC21" s="10"/>
      <c r="CD21" s="10"/>
      <c r="CE21" s="10"/>
      <c r="CI21" s="734">
        <f t="shared" si="101"/>
        <v>18</v>
      </c>
      <c r="CJ21" s="146">
        <f t="shared" si="12"/>
        <v>18</v>
      </c>
      <c r="CK21" s="518" t="s">
        <v>425</v>
      </c>
      <c r="CL21" s="344">
        <f t="shared" si="13"/>
        <v>2.4590349179355542E-2</v>
      </c>
      <c r="CM21" s="20">
        <f t="shared" si="14"/>
        <v>131662.63425512036</v>
      </c>
      <c r="CN21" s="344">
        <f t="shared" si="15"/>
        <v>8.6001408028498913E-2</v>
      </c>
      <c r="CO21" s="20">
        <f t="shared" si="16"/>
        <v>1496521.5036970684</v>
      </c>
      <c r="CP21" s="20">
        <f t="shared" si="17"/>
        <v>1628184.1379521887</v>
      </c>
      <c r="CQ21" s="344">
        <f t="shared" si="18"/>
        <v>7.1551650304316025E-2</v>
      </c>
      <c r="CR21" s="342">
        <f t="shared" si="19"/>
        <v>3.022983</v>
      </c>
      <c r="DE21" s="1"/>
      <c r="DH21" s="734">
        <v>18</v>
      </c>
      <c r="DI21" s="745">
        <f t="shared" si="20"/>
        <v>18</v>
      </c>
      <c r="DJ21" s="518" t="s">
        <v>425</v>
      </c>
      <c r="DK21" s="344">
        <f t="shared" si="21"/>
        <v>7.1551650304316025E-2</v>
      </c>
      <c r="DL21" s="20">
        <f t="shared" si="77"/>
        <v>22464.088858092717</v>
      </c>
      <c r="DM21" s="344">
        <f t="shared" si="22"/>
        <v>8.6001408028498913E-2</v>
      </c>
      <c r="DN21" s="20">
        <f t="shared" si="23"/>
        <v>167100.78672667823</v>
      </c>
      <c r="DO21" s="344">
        <f t="shared" si="24"/>
        <v>2.4590349179355542E-2</v>
      </c>
      <c r="DP21" s="20">
        <f t="shared" si="25"/>
        <v>79549.857299906464</v>
      </c>
      <c r="DQ21" s="20">
        <f t="shared" si="78"/>
        <v>269114.73288467742</v>
      </c>
      <c r="DR21" s="344">
        <f t="shared" si="26"/>
        <v>4.9001582688667479E-2</v>
      </c>
      <c r="DS21" s="342">
        <f t="shared" si="27"/>
        <v>0.49965399999999999</v>
      </c>
      <c r="DW21" s="734">
        <f t="shared" si="102"/>
        <v>18</v>
      </c>
      <c r="DX21" s="745">
        <f t="shared" si="28"/>
        <v>18</v>
      </c>
      <c r="DY21" s="518" t="s">
        <v>425</v>
      </c>
      <c r="DZ21" s="344">
        <f t="shared" si="29"/>
        <v>8.6001408028498913E-2</v>
      </c>
      <c r="EA21" s="20">
        <f t="shared" si="30"/>
        <v>307383.97400922811</v>
      </c>
      <c r="EB21" s="342">
        <f t="shared" si="31"/>
        <v>0.57070699999999996</v>
      </c>
      <c r="EN21" s="734">
        <f t="shared" si="103"/>
        <v>18</v>
      </c>
      <c r="EO21" s="745">
        <f t="shared" si="32"/>
        <v>18</v>
      </c>
      <c r="EP21" s="518" t="s">
        <v>425</v>
      </c>
      <c r="EQ21" s="344">
        <f t="shared" si="33"/>
        <v>6.3898865324905726E-2</v>
      </c>
      <c r="ER21" s="20">
        <f t="shared" si="34"/>
        <v>454510.47950067144</v>
      </c>
      <c r="ES21" s="344">
        <f t="shared" si="35"/>
        <v>7.1551650304316025E-2</v>
      </c>
      <c r="ET21" s="20">
        <f t="shared" si="36"/>
        <v>68619.764997062914</v>
      </c>
      <c r="EU21" s="344">
        <f t="shared" si="37"/>
        <v>2.4590349179355542E-2</v>
      </c>
      <c r="EV21" s="20">
        <f t="shared" si="38"/>
        <v>63181.999230791131</v>
      </c>
      <c r="EW21" s="20">
        <f t="shared" si="39"/>
        <v>586312.24372852547</v>
      </c>
      <c r="EX21" s="344">
        <f t="shared" si="40"/>
        <v>5.5097426837360131E-2</v>
      </c>
      <c r="EY21" s="342">
        <f t="shared" si="41"/>
        <v>1.0885819999999999</v>
      </c>
      <c r="FI21" s="734">
        <f t="shared" si="104"/>
        <v>18</v>
      </c>
      <c r="FJ21" s="735">
        <f t="shared" si="42"/>
        <v>18</v>
      </c>
      <c r="FK21" s="518" t="s">
        <v>425</v>
      </c>
      <c r="FL21" s="344">
        <f t="shared" si="43"/>
        <v>6.3898865324905726E-2</v>
      </c>
      <c r="FM21" s="20">
        <f t="shared" si="44"/>
        <v>1200891.5400808593</v>
      </c>
      <c r="FN21" s="342">
        <f t="shared" si="45"/>
        <v>2.2296459999999998</v>
      </c>
      <c r="FR21" s="734">
        <f t="shared" si="105"/>
        <v>18</v>
      </c>
      <c r="FS21" s="735">
        <v>18</v>
      </c>
      <c r="FT21" s="518" t="s">
        <v>425</v>
      </c>
      <c r="FU21" s="20">
        <f t="shared" si="46"/>
        <v>2405366.6069262116</v>
      </c>
      <c r="FV21" s="20">
        <f t="shared" si="47"/>
        <v>719827.87696257792</v>
      </c>
      <c r="FW21" s="20">
        <f t="shared" si="48"/>
        <v>1628184.1379521887</v>
      </c>
      <c r="FX21" s="20">
        <f t="shared" si="49"/>
        <v>269114.73288467742</v>
      </c>
      <c r="FY21" s="20">
        <f t="shared" si="50"/>
        <v>307383.97400922811</v>
      </c>
      <c r="FZ21" s="20">
        <f t="shared" si="51"/>
        <v>586312.24372852547</v>
      </c>
      <c r="GA21" s="20">
        <f t="shared" si="52"/>
        <v>1200891.5400808593</v>
      </c>
      <c r="GB21" s="20">
        <f t="shared" si="53"/>
        <v>7117081.1125442674</v>
      </c>
      <c r="GC21" s="414">
        <f t="shared" si="54"/>
        <v>13.213995000000001</v>
      </c>
      <c r="GG21" s="734">
        <f t="shared" si="79"/>
        <v>18</v>
      </c>
      <c r="GH21" s="735">
        <f t="shared" si="55"/>
        <v>18</v>
      </c>
      <c r="GI21" s="518" t="s">
        <v>425</v>
      </c>
      <c r="GJ21" s="342">
        <f t="shared" si="56"/>
        <v>4.4659459999999997</v>
      </c>
      <c r="GK21" s="342">
        <f t="shared" si="57"/>
        <v>1.3364750000000001</v>
      </c>
      <c r="GL21" s="342">
        <f t="shared" si="58"/>
        <v>3.022983</v>
      </c>
      <c r="GM21" s="342">
        <f t="shared" si="59"/>
        <v>0.49965399999999999</v>
      </c>
      <c r="GN21" s="342">
        <f t="shared" si="60"/>
        <v>0.57070699999999996</v>
      </c>
      <c r="GO21" s="342">
        <f t="shared" si="61"/>
        <v>1.0885819999999999</v>
      </c>
      <c r="GP21" s="342">
        <f t="shared" si="62"/>
        <v>2.2296459999999998</v>
      </c>
      <c r="GQ21" s="342">
        <f t="shared" si="63"/>
        <v>13.213995000000001</v>
      </c>
      <c r="GR21" s="788">
        <f t="shared" si="80"/>
        <v>53860177.621062644</v>
      </c>
      <c r="GS21" s="716"/>
      <c r="GV21" s="718">
        <f t="shared" si="81"/>
        <v>18</v>
      </c>
      <c r="GW21" s="735">
        <v>18</v>
      </c>
      <c r="GX21" s="518" t="s">
        <v>425</v>
      </c>
      <c r="GY21" s="322" t="s">
        <v>397</v>
      </c>
      <c r="GZ21" s="924">
        <f t="shared" si="82"/>
        <v>7117081.1125442674</v>
      </c>
      <c r="HA21" s="788">
        <f t="shared" si="83"/>
        <v>53860177.621062644</v>
      </c>
      <c r="HB21" s="922">
        <f t="shared" si="109"/>
        <v>13.213995000000001</v>
      </c>
      <c r="HC21" s="942">
        <f t="shared" si="85"/>
        <v>7117081.1778383376</v>
      </c>
      <c r="HD21" s="858">
        <v>-0.1446945620700717</v>
      </c>
      <c r="HE21" s="54"/>
      <c r="HH21" s="54"/>
      <c r="HI21" s="54"/>
      <c r="HJ21" s="54"/>
      <c r="HK21" s="54"/>
      <c r="HL21" s="54"/>
      <c r="HM21" s="54"/>
      <c r="HN21" s="54"/>
      <c r="HQ21" s="734">
        <v>18</v>
      </c>
      <c r="HR21" s="869">
        <v>18</v>
      </c>
      <c r="HS21" s="518" t="s">
        <v>425</v>
      </c>
      <c r="HT21" s="788">
        <f t="shared" si="86"/>
        <v>53860177.621062644</v>
      </c>
      <c r="HU21" s="917">
        <f t="shared" si="87"/>
        <v>13.213995000000001</v>
      </c>
      <c r="HV21" s="870"/>
      <c r="HW21" s="768"/>
      <c r="HX21" s="870">
        <v>-2.6237379999999995</v>
      </c>
      <c r="HY21" s="769">
        <v>25</v>
      </c>
      <c r="IP21" s="734">
        <v>18</v>
      </c>
      <c r="IQ21" s="869">
        <v>18</v>
      </c>
      <c r="IR21" s="518" t="s">
        <v>425</v>
      </c>
      <c r="IS21" s="913">
        <f t="shared" si="106"/>
        <v>7117081.1778383376</v>
      </c>
      <c r="IT21" s="915">
        <f t="shared" si="88"/>
        <v>53860177.621062644</v>
      </c>
      <c r="IU21" s="919">
        <f t="shared" si="89"/>
        <v>13.213995000000001</v>
      </c>
      <c r="IV21" s="904">
        <f t="shared" si="114"/>
        <v>7922642.1680355491</v>
      </c>
      <c r="IW21" s="904">
        <f t="shared" si="91"/>
        <v>45937535.453027092</v>
      </c>
      <c r="IX21" s="913">
        <f t="shared" si="115"/>
        <v>118839.63252053323</v>
      </c>
      <c r="IY21" s="882">
        <f t="shared" si="93"/>
        <v>6998241.5453178044</v>
      </c>
      <c r="IZ21" s="928">
        <f t="shared" si="116"/>
        <v>12.993350290365663</v>
      </c>
      <c r="JA21" s="928">
        <f t="shared" si="117"/>
        <v>14.493350290365663</v>
      </c>
      <c r="JB21" s="913">
        <f t="shared" si="107"/>
        <v>7117081.1778383376</v>
      </c>
      <c r="JC21" s="883">
        <v>0.22223282548291756</v>
      </c>
      <c r="JG21" s="734">
        <v>18</v>
      </c>
      <c r="JH21" s="869">
        <v>18</v>
      </c>
      <c r="JI21" s="518" t="s">
        <v>425</v>
      </c>
      <c r="JJ21" s="788">
        <f t="shared" si="96"/>
        <v>53860177.621062644</v>
      </c>
      <c r="JK21" s="917">
        <f t="shared" si="97"/>
        <v>12.993350290365663</v>
      </c>
      <c r="JL21" s="870">
        <v>15.667</v>
      </c>
      <c r="JM21" s="768"/>
      <c r="JN21" s="870"/>
      <c r="JO21" s="769">
        <v>25</v>
      </c>
      <c r="JT21" s="936">
        <v>230.53352092654026</v>
      </c>
      <c r="JU21" s="936">
        <f t="shared" si="64"/>
        <v>1.268270363825394</v>
      </c>
      <c r="JV21" s="13">
        <v>2154</v>
      </c>
      <c r="JW21" s="13">
        <f t="shared" si="65"/>
        <v>130.26228176403811</v>
      </c>
    </row>
    <row r="22" spans="3:294" x14ac:dyDescent="0.3">
      <c r="J22" s="756">
        <v>19</v>
      </c>
      <c r="K22" s="757">
        <v>19</v>
      </c>
      <c r="L22" s="732" t="s">
        <v>426</v>
      </c>
      <c r="M22" s="904">
        <v>2284.2622817640381</v>
      </c>
      <c r="N22" s="944">
        <f t="shared" si="66"/>
        <v>1.0429005177257881E-6</v>
      </c>
      <c r="O22" s="753">
        <v>14.771428571428572</v>
      </c>
      <c r="P22" s="948">
        <f t="shared" si="67"/>
        <v>154.64058000336814</v>
      </c>
      <c r="Q22" s="733">
        <f t="shared" si="68"/>
        <v>8.8406191845747777E-5</v>
      </c>
      <c r="R22" s="758" t="s">
        <v>397</v>
      </c>
      <c r="V22" s="730">
        <f t="shared" si="98"/>
        <v>19</v>
      </c>
      <c r="W22" s="731">
        <f t="shared" si="0"/>
        <v>19</v>
      </c>
      <c r="X22" s="732" t="s">
        <v>426</v>
      </c>
      <c r="Y22" s="924">
        <f t="shared" si="69"/>
        <v>3992.2897551265364</v>
      </c>
      <c r="Z22" s="944">
        <f t="shared" si="70"/>
        <v>4.7862787390152452E-5</v>
      </c>
      <c r="AD22" s="730">
        <v>19</v>
      </c>
      <c r="AE22" s="746">
        <v>19</v>
      </c>
      <c r="AF22" s="747" t="s">
        <v>426</v>
      </c>
      <c r="AG22" s="748">
        <v>131.15</v>
      </c>
      <c r="AQ22" s="730">
        <f t="shared" si="71"/>
        <v>19</v>
      </c>
      <c r="AR22" s="783">
        <f t="shared" si="1"/>
        <v>19</v>
      </c>
      <c r="AS22" s="732" t="s">
        <v>426</v>
      </c>
      <c r="AT22" s="732">
        <f t="shared" si="2"/>
        <v>131.15</v>
      </c>
      <c r="AU22" s="784">
        <f t="shared" si="72"/>
        <v>2284.2622817640381</v>
      </c>
      <c r="AV22" s="784">
        <f t="shared" si="99"/>
        <v>83.216943959264896</v>
      </c>
      <c r="AW22" s="785">
        <f t="shared" si="3"/>
        <v>86.786755882295012</v>
      </c>
      <c r="AX22" s="786">
        <f t="shared" si="4"/>
        <v>18.222331461311715</v>
      </c>
      <c r="AY22" s="379">
        <f t="shared" si="108"/>
        <v>1581.4570321391238</v>
      </c>
      <c r="AZ22" s="51">
        <f t="shared" si="73"/>
        <v>4.4078196545837372E-5</v>
      </c>
      <c r="BA22" s="53">
        <f t="shared" si="5"/>
        <v>69.232725000000002</v>
      </c>
      <c r="BL22" s="756">
        <f t="shared" si="100"/>
        <v>19</v>
      </c>
      <c r="BM22" s="758">
        <f t="shared" si="6"/>
        <v>19</v>
      </c>
      <c r="BN22" s="732" t="s">
        <v>426</v>
      </c>
      <c r="BO22" s="733">
        <f t="shared" si="7"/>
        <v>4.4078196545837372E-5</v>
      </c>
      <c r="BP22" s="379">
        <f t="shared" si="74"/>
        <v>346.26063366431822</v>
      </c>
      <c r="BQ22" s="733">
        <f t="shared" si="8"/>
        <v>1.0429005177257881E-6</v>
      </c>
      <c r="BR22" s="379">
        <f t="shared" si="75"/>
        <v>8.1926081921489065</v>
      </c>
      <c r="BS22" s="807">
        <f t="shared" si="9"/>
        <v>354.45324185646712</v>
      </c>
      <c r="BT22" s="808">
        <f t="shared" si="10"/>
        <v>15.517187</v>
      </c>
      <c r="BW22" s="1"/>
      <c r="BX22" s="10"/>
      <c r="BY22" s="10"/>
      <c r="BZ22" s="10"/>
      <c r="CA22" s="10"/>
      <c r="CB22" s="10"/>
      <c r="CC22" s="10"/>
      <c r="CD22" s="10"/>
      <c r="CE22" s="10"/>
      <c r="CI22" s="730">
        <f t="shared" si="101"/>
        <v>19</v>
      </c>
      <c r="CJ22" s="746">
        <f t="shared" si="12"/>
        <v>19</v>
      </c>
      <c r="CK22" s="732" t="s">
        <v>426</v>
      </c>
      <c r="CL22" s="733">
        <f t="shared" si="13"/>
        <v>1.0429005177257881E-6</v>
      </c>
      <c r="CM22" s="379">
        <f t="shared" si="14"/>
        <v>5.5839397980197667</v>
      </c>
      <c r="CN22" s="733">
        <f t="shared" si="15"/>
        <v>8.8406191845747777E-5</v>
      </c>
      <c r="CO22" s="379">
        <f t="shared" si="16"/>
        <v>1538.367454557118</v>
      </c>
      <c r="CP22" s="379">
        <f t="shared" si="17"/>
        <v>1543.9513943551378</v>
      </c>
      <c r="CQ22" s="733">
        <f t="shared" si="18"/>
        <v>6.784998556410451E-5</v>
      </c>
      <c r="CR22" s="808">
        <f t="shared" si="19"/>
        <v>67.590811000000002</v>
      </c>
      <c r="DE22" s="1"/>
      <c r="DH22" s="730">
        <v>19</v>
      </c>
      <c r="DI22" s="840">
        <f t="shared" si="20"/>
        <v>19</v>
      </c>
      <c r="DJ22" s="732" t="s">
        <v>426</v>
      </c>
      <c r="DK22" s="733">
        <f t="shared" si="21"/>
        <v>6.784998556410451E-5</v>
      </c>
      <c r="DL22" s="379">
        <f t="shared" si="77"/>
        <v>21.301928023320688</v>
      </c>
      <c r="DM22" s="733">
        <f t="shared" si="22"/>
        <v>8.8406191845747777E-5</v>
      </c>
      <c r="DN22" s="379">
        <f t="shared" si="23"/>
        <v>171.77328310762945</v>
      </c>
      <c r="DO22" s="733">
        <f t="shared" si="24"/>
        <v>1.0429005177257881E-6</v>
      </c>
      <c r="DP22" s="379">
        <f t="shared" si="25"/>
        <v>3.3737864703741178</v>
      </c>
      <c r="DQ22" s="379">
        <f t="shared" si="78"/>
        <v>196.44899760132427</v>
      </c>
      <c r="DR22" s="733">
        <f t="shared" si="26"/>
        <v>3.5770289113796879E-5</v>
      </c>
      <c r="DS22" s="808">
        <f t="shared" si="27"/>
        <v>8.6001069999999995</v>
      </c>
      <c r="DW22" s="730">
        <f t="shared" si="102"/>
        <v>19</v>
      </c>
      <c r="DX22" s="840">
        <f t="shared" si="28"/>
        <v>19</v>
      </c>
      <c r="DY22" s="732" t="s">
        <v>426</v>
      </c>
      <c r="DZ22" s="733">
        <f t="shared" si="29"/>
        <v>8.8406191845747777E-5</v>
      </c>
      <c r="EA22" s="379">
        <f t="shared" si="30"/>
        <v>315.97908917448314</v>
      </c>
      <c r="EB22" s="808">
        <f t="shared" si="31"/>
        <v>13.832872999999999</v>
      </c>
      <c r="EN22" s="730">
        <f t="shared" si="103"/>
        <v>19</v>
      </c>
      <c r="EO22" s="840">
        <f t="shared" si="32"/>
        <v>19</v>
      </c>
      <c r="EP22" s="732" t="s">
        <v>426</v>
      </c>
      <c r="EQ22" s="733">
        <f t="shared" si="33"/>
        <v>4.7862787390152452E-5</v>
      </c>
      <c r="ER22" s="379">
        <f t="shared" si="34"/>
        <v>340.44639660381915</v>
      </c>
      <c r="ES22" s="733">
        <f t="shared" si="35"/>
        <v>6.784998556410451E-5</v>
      </c>
      <c r="ET22" s="379">
        <f t="shared" si="36"/>
        <v>65.069778889252532</v>
      </c>
      <c r="EU22" s="733">
        <f t="shared" si="37"/>
        <v>1.0429005177257881E-6</v>
      </c>
      <c r="EV22" s="379">
        <f t="shared" si="38"/>
        <v>2.6796097618679409</v>
      </c>
      <c r="EW22" s="379">
        <f t="shared" si="39"/>
        <v>408.19578525493961</v>
      </c>
      <c r="EX22" s="733">
        <f t="shared" si="40"/>
        <v>3.8359317332994974E-5</v>
      </c>
      <c r="EY22" s="808">
        <f t="shared" si="41"/>
        <v>17.869917999999998</v>
      </c>
      <c r="FI22" s="730">
        <f t="shared" si="104"/>
        <v>19</v>
      </c>
      <c r="FJ22" s="731">
        <f t="shared" si="42"/>
        <v>19</v>
      </c>
      <c r="FK22" s="732" t="s">
        <v>426</v>
      </c>
      <c r="FL22" s="733">
        <f t="shared" si="43"/>
        <v>4.7862787390152452E-5</v>
      </c>
      <c r="FM22" s="379">
        <f t="shared" si="44"/>
        <v>899.51544787634623</v>
      </c>
      <c r="FN22" s="808">
        <f t="shared" si="45"/>
        <v>39.378816</v>
      </c>
      <c r="FR22" s="730">
        <f t="shared" si="105"/>
        <v>19</v>
      </c>
      <c r="FS22" s="731">
        <v>19</v>
      </c>
      <c r="FT22" s="732" t="s">
        <v>426</v>
      </c>
      <c r="FU22" s="379">
        <f t="shared" si="46"/>
        <v>1581.4570321391238</v>
      </c>
      <c r="FV22" s="379">
        <f t="shared" si="47"/>
        <v>354.45324185646712</v>
      </c>
      <c r="FW22" s="379">
        <f t="shared" si="48"/>
        <v>1543.9513943551378</v>
      </c>
      <c r="FX22" s="379">
        <f t="shared" si="49"/>
        <v>196.44899760132427</v>
      </c>
      <c r="FY22" s="379">
        <f t="shared" si="50"/>
        <v>315.97908917448314</v>
      </c>
      <c r="FZ22" s="379">
        <f t="shared" si="51"/>
        <v>408.19578525493961</v>
      </c>
      <c r="GA22" s="379">
        <f t="shared" si="52"/>
        <v>899.51544787634623</v>
      </c>
      <c r="GB22" s="379">
        <f t="shared" si="53"/>
        <v>5300.0009882578224</v>
      </c>
      <c r="GC22" s="852">
        <f t="shared" si="54"/>
        <v>232.022436</v>
      </c>
      <c r="GG22" s="730">
        <f t="shared" si="79"/>
        <v>19</v>
      </c>
      <c r="GH22" s="731">
        <f t="shared" si="55"/>
        <v>19</v>
      </c>
      <c r="GI22" s="732" t="s">
        <v>426</v>
      </c>
      <c r="GJ22" s="808">
        <f t="shared" si="56"/>
        <v>69.232725000000002</v>
      </c>
      <c r="GK22" s="808">
        <f t="shared" si="57"/>
        <v>15.517187</v>
      </c>
      <c r="GL22" s="808">
        <f t="shared" si="58"/>
        <v>67.590811000000002</v>
      </c>
      <c r="GM22" s="808">
        <f t="shared" si="59"/>
        <v>8.6001069999999995</v>
      </c>
      <c r="GN22" s="808">
        <f t="shared" si="60"/>
        <v>13.832872999999999</v>
      </c>
      <c r="GO22" s="808">
        <f t="shared" si="61"/>
        <v>17.869917999999998</v>
      </c>
      <c r="GP22" s="808">
        <f t="shared" si="62"/>
        <v>39.378816</v>
      </c>
      <c r="GQ22" s="808">
        <f t="shared" si="63"/>
        <v>232.022436</v>
      </c>
      <c r="GR22" s="784">
        <f t="shared" si="80"/>
        <v>2284.2622817640381</v>
      </c>
      <c r="GS22" s="716"/>
      <c r="GV22" s="717">
        <f t="shared" si="81"/>
        <v>19</v>
      </c>
      <c r="GW22" s="731">
        <v>19</v>
      </c>
      <c r="GX22" s="732" t="s">
        <v>426</v>
      </c>
      <c r="GY22" s="758" t="s">
        <v>397</v>
      </c>
      <c r="GZ22" s="906">
        <f t="shared" si="82"/>
        <v>5300.0009882578224</v>
      </c>
      <c r="HA22" s="784">
        <f t="shared" si="83"/>
        <v>2284.2622817640381</v>
      </c>
      <c r="HB22" s="922">
        <f t="shared" si="109"/>
        <v>232.022436</v>
      </c>
      <c r="HC22" s="942">
        <f t="shared" si="85"/>
        <v>5300.000990778105</v>
      </c>
      <c r="HD22" s="857">
        <v>-1.0707106412155554E-5</v>
      </c>
      <c r="HE22" s="54"/>
      <c r="HH22" s="54"/>
      <c r="HI22" s="54"/>
      <c r="HJ22" s="54"/>
      <c r="HK22" s="54"/>
      <c r="HL22" s="54"/>
      <c r="HM22" s="54"/>
      <c r="HN22" s="54"/>
      <c r="HQ22" s="730">
        <v>19</v>
      </c>
      <c r="HR22" s="867">
        <v>19</v>
      </c>
      <c r="HS22" s="732" t="s">
        <v>426</v>
      </c>
      <c r="HT22" s="784">
        <f t="shared" si="86"/>
        <v>2284.2622817640381</v>
      </c>
      <c r="HU22" s="917">
        <f t="shared" si="87"/>
        <v>232.022436</v>
      </c>
      <c r="HV22" s="868"/>
      <c r="HW22" s="765"/>
      <c r="HX22" s="868">
        <v>-2.8946819999999889</v>
      </c>
      <c r="HY22" s="766">
        <v>10</v>
      </c>
      <c r="IP22" s="730">
        <v>19</v>
      </c>
      <c r="IQ22" s="867">
        <v>19</v>
      </c>
      <c r="IR22" s="732" t="s">
        <v>426</v>
      </c>
      <c r="IS22" s="913">
        <f t="shared" si="106"/>
        <v>5300.000990778105</v>
      </c>
      <c r="IT22" s="915">
        <f t="shared" si="88"/>
        <v>2284.2622817640381</v>
      </c>
      <c r="IU22" s="918">
        <f t="shared" si="89"/>
        <v>232.022436</v>
      </c>
      <c r="IV22" s="904">
        <f t="shared" si="114"/>
        <v>336.00692525900013</v>
      </c>
      <c r="IW22" s="904">
        <f t="shared" si="91"/>
        <v>1948.255356505038</v>
      </c>
      <c r="IX22" s="913">
        <f t="shared" si="115"/>
        <v>5.0401038788850014</v>
      </c>
      <c r="IY22" s="881">
        <f t="shared" si="93"/>
        <v>5294.96088689922</v>
      </c>
      <c r="IZ22" s="928">
        <f t="shared" si="116"/>
        <v>231.80179129036566</v>
      </c>
      <c r="JA22" s="928">
        <f t="shared" si="117"/>
        <v>233.30179129036566</v>
      </c>
      <c r="JB22" s="913">
        <f t="shared" si="107"/>
        <v>5300.000990778105</v>
      </c>
      <c r="JC22" s="852">
        <v>0.22223272731204702</v>
      </c>
      <c r="JG22" s="730">
        <v>19</v>
      </c>
      <c r="JH22" s="867">
        <v>19</v>
      </c>
      <c r="JI22" s="732" t="s">
        <v>426</v>
      </c>
      <c r="JJ22" s="784">
        <f t="shared" si="96"/>
        <v>2284.2622817640381</v>
      </c>
      <c r="JK22" s="917">
        <f t="shared" si="97"/>
        <v>231.80179129036566</v>
      </c>
      <c r="JL22" s="868">
        <v>235.7</v>
      </c>
      <c r="JM22" s="765"/>
      <c r="JN22" s="868"/>
      <c r="JO22" s="766">
        <v>10</v>
      </c>
      <c r="JT22" s="936">
        <v>0</v>
      </c>
      <c r="JU22" s="936">
        <f t="shared" si="64"/>
        <v>0</v>
      </c>
      <c r="JV22" s="13">
        <v>0</v>
      </c>
      <c r="JW22" s="13">
        <f t="shared" si="65"/>
        <v>0</v>
      </c>
    </row>
    <row r="23" spans="3:294" x14ac:dyDescent="0.3">
      <c r="J23" s="338">
        <v>20</v>
      </c>
      <c r="K23" s="759">
        <v>20</v>
      </c>
      <c r="L23" s="518" t="s">
        <v>427</v>
      </c>
      <c r="M23" s="904"/>
      <c r="N23" s="943">
        <f t="shared" si="66"/>
        <v>0</v>
      </c>
      <c r="O23" s="455">
        <v>813.59999999999991</v>
      </c>
      <c r="P23" s="948">
        <f t="shared" si="67"/>
        <v>0</v>
      </c>
      <c r="Q23" s="659">
        <f t="shared" si="68"/>
        <v>0</v>
      </c>
      <c r="R23" s="322" t="s">
        <v>402</v>
      </c>
      <c r="V23" s="734">
        <f t="shared" si="98"/>
        <v>20</v>
      </c>
      <c r="W23" s="735">
        <f t="shared" si="0"/>
        <v>20</v>
      </c>
      <c r="X23" s="518" t="s">
        <v>427</v>
      </c>
      <c r="Y23" s="924">
        <f t="shared" si="69"/>
        <v>0</v>
      </c>
      <c r="Z23" s="943">
        <f t="shared" si="70"/>
        <v>0</v>
      </c>
      <c r="AD23" s="734">
        <v>20</v>
      </c>
      <c r="AE23" s="146">
        <v>20</v>
      </c>
      <c r="AF23" s="347" t="s">
        <v>427</v>
      </c>
      <c r="AG23" s="369">
        <v>4.6900000000000004</v>
      </c>
      <c r="AQ23" s="734">
        <f t="shared" si="71"/>
        <v>20</v>
      </c>
      <c r="AR23" s="787">
        <f t="shared" si="1"/>
        <v>20</v>
      </c>
      <c r="AS23" s="518" t="s">
        <v>427</v>
      </c>
      <c r="AT23" s="518">
        <f t="shared" si="2"/>
        <v>4.6900000000000004</v>
      </c>
      <c r="AU23" s="788">
        <f t="shared" si="72"/>
        <v>0</v>
      </c>
      <c r="AV23" s="788">
        <f t="shared" si="99"/>
        <v>0</v>
      </c>
      <c r="AW23" s="789">
        <f t="shared" si="3"/>
        <v>0</v>
      </c>
      <c r="AX23" s="790">
        <f t="shared" si="4"/>
        <v>18.222331461311715</v>
      </c>
      <c r="AY23" s="358">
        <f t="shared" si="108"/>
        <v>0</v>
      </c>
      <c r="AZ23" s="35">
        <f t="shared" si="73"/>
        <v>0</v>
      </c>
      <c r="BA23" s="55">
        <f t="shared" si="5"/>
        <v>0</v>
      </c>
      <c r="BL23" s="338">
        <f t="shared" si="100"/>
        <v>20</v>
      </c>
      <c r="BM23" s="322">
        <f t="shared" si="6"/>
        <v>20</v>
      </c>
      <c r="BN23" s="518" t="s">
        <v>427</v>
      </c>
      <c r="BO23" s="659">
        <f>VLOOKUP(BM23,$AR$4:$AZ$28,$BO$30,FALSE)</f>
        <v>0</v>
      </c>
      <c r="BP23" s="358">
        <f>BO23*$BP$28</f>
        <v>0</v>
      </c>
      <c r="BQ23" s="947">
        <f>VLOOKUP(BM23,$K$4:$N$27,$BQ$30,FALSE)</f>
        <v>0</v>
      </c>
      <c r="BR23" s="358">
        <f>BQ23*$BR$28</f>
        <v>0</v>
      </c>
      <c r="BS23" s="809">
        <f t="shared" si="9"/>
        <v>0</v>
      </c>
      <c r="BT23" s="810">
        <f t="shared" si="10"/>
        <v>0</v>
      </c>
      <c r="BW23" s="1"/>
      <c r="BX23" s="10"/>
      <c r="BY23" s="10"/>
      <c r="BZ23" s="10"/>
      <c r="CA23" s="10"/>
      <c r="CB23" s="10"/>
      <c r="CC23" s="10"/>
      <c r="CD23" s="10"/>
      <c r="CE23" s="10"/>
      <c r="CI23" s="734">
        <f t="shared" si="101"/>
        <v>20</v>
      </c>
      <c r="CJ23" s="146">
        <f t="shared" si="12"/>
        <v>20</v>
      </c>
      <c r="CK23" s="518" t="s">
        <v>427</v>
      </c>
      <c r="CL23" s="344">
        <f t="shared" si="13"/>
        <v>0</v>
      </c>
      <c r="CM23" s="20">
        <f t="shared" si="14"/>
        <v>0</v>
      </c>
      <c r="CN23" s="344">
        <f t="shared" si="15"/>
        <v>0</v>
      </c>
      <c r="CO23" s="20">
        <f t="shared" si="16"/>
        <v>0</v>
      </c>
      <c r="CP23" s="20">
        <f t="shared" si="17"/>
        <v>0</v>
      </c>
      <c r="CQ23" s="344">
        <f t="shared" si="18"/>
        <v>0</v>
      </c>
      <c r="CR23" s="342">
        <f t="shared" si="19"/>
        <v>0</v>
      </c>
      <c r="DE23" s="1"/>
      <c r="DH23" s="734">
        <v>20</v>
      </c>
      <c r="DI23" s="745">
        <f t="shared" si="20"/>
        <v>20</v>
      </c>
      <c r="DJ23" s="518" t="s">
        <v>427</v>
      </c>
      <c r="DK23" s="344">
        <f t="shared" si="21"/>
        <v>0</v>
      </c>
      <c r="DL23" s="20">
        <f t="shared" si="77"/>
        <v>0</v>
      </c>
      <c r="DM23" s="344">
        <f t="shared" si="22"/>
        <v>0</v>
      </c>
      <c r="DN23" s="20">
        <f t="shared" si="23"/>
        <v>0</v>
      </c>
      <c r="DO23" s="344">
        <f t="shared" si="24"/>
        <v>0</v>
      </c>
      <c r="DP23" s="20">
        <f t="shared" si="25"/>
        <v>0</v>
      </c>
      <c r="DQ23" s="20">
        <f t="shared" si="78"/>
        <v>0</v>
      </c>
      <c r="DR23" s="344">
        <f t="shared" si="26"/>
        <v>0</v>
      </c>
      <c r="DS23" s="342">
        <f t="shared" si="27"/>
        <v>0</v>
      </c>
      <c r="DW23" s="734">
        <f t="shared" si="102"/>
        <v>20</v>
      </c>
      <c r="DX23" s="745">
        <f t="shared" si="28"/>
        <v>20</v>
      </c>
      <c r="DY23" s="518" t="s">
        <v>427</v>
      </c>
      <c r="DZ23" s="344">
        <f t="shared" si="29"/>
        <v>0</v>
      </c>
      <c r="EA23" s="20">
        <f t="shared" si="30"/>
        <v>0</v>
      </c>
      <c r="EB23" s="342">
        <f t="shared" si="31"/>
        <v>0</v>
      </c>
      <c r="EN23" s="734">
        <f t="shared" si="103"/>
        <v>20</v>
      </c>
      <c r="EO23" s="745">
        <f t="shared" si="32"/>
        <v>20</v>
      </c>
      <c r="EP23" s="518" t="s">
        <v>427</v>
      </c>
      <c r="EQ23" s="344">
        <f t="shared" si="33"/>
        <v>0</v>
      </c>
      <c r="ER23" s="20">
        <f t="shared" si="34"/>
        <v>0</v>
      </c>
      <c r="ES23" s="344">
        <f t="shared" si="35"/>
        <v>0</v>
      </c>
      <c r="ET23" s="20">
        <f t="shared" si="36"/>
        <v>0</v>
      </c>
      <c r="EU23" s="344">
        <f t="shared" si="37"/>
        <v>0</v>
      </c>
      <c r="EV23" s="20">
        <f t="shared" si="38"/>
        <v>0</v>
      </c>
      <c r="EW23" s="20">
        <f t="shared" si="39"/>
        <v>0</v>
      </c>
      <c r="EX23" s="344">
        <f t="shared" si="40"/>
        <v>0</v>
      </c>
      <c r="EY23" s="342">
        <f t="shared" si="41"/>
        <v>0</v>
      </c>
      <c r="FI23" s="734">
        <f t="shared" si="104"/>
        <v>20</v>
      </c>
      <c r="FJ23" s="735">
        <f t="shared" si="42"/>
        <v>20</v>
      </c>
      <c r="FK23" s="518" t="s">
        <v>427</v>
      </c>
      <c r="FL23" s="344">
        <f>Z23</f>
        <v>0</v>
      </c>
      <c r="FM23" s="20">
        <f>Z23*$FM$28</f>
        <v>0</v>
      </c>
      <c r="FN23" s="342">
        <f t="shared" si="45"/>
        <v>0</v>
      </c>
      <c r="FR23" s="734">
        <f t="shared" si="105"/>
        <v>20</v>
      </c>
      <c r="FS23" s="735">
        <v>20</v>
      </c>
      <c r="FT23" s="518" t="s">
        <v>427</v>
      </c>
      <c r="FU23" s="20">
        <f t="shared" si="46"/>
        <v>0</v>
      </c>
      <c r="FV23" s="20">
        <f>VLOOKUP(FS23,$BM$4:$BT$86,$FV$30,FALSE)</f>
        <v>0</v>
      </c>
      <c r="FW23" s="20">
        <f t="shared" si="48"/>
        <v>0</v>
      </c>
      <c r="FX23" s="20">
        <f t="shared" si="49"/>
        <v>0</v>
      </c>
      <c r="FY23" s="20">
        <f t="shared" si="50"/>
        <v>0</v>
      </c>
      <c r="FZ23" s="20">
        <f t="shared" si="51"/>
        <v>0</v>
      </c>
      <c r="GA23" s="20">
        <f t="shared" si="52"/>
        <v>0</v>
      </c>
      <c r="GB23" s="20">
        <f t="shared" si="53"/>
        <v>0</v>
      </c>
      <c r="GC23" s="414">
        <f t="shared" si="54"/>
        <v>0</v>
      </c>
      <c r="GG23" s="734">
        <f t="shared" si="79"/>
        <v>20</v>
      </c>
      <c r="GH23" s="735">
        <f t="shared" si="55"/>
        <v>20</v>
      </c>
      <c r="GI23" s="518" t="s">
        <v>427</v>
      </c>
      <c r="GJ23" s="342">
        <f t="shared" si="56"/>
        <v>0</v>
      </c>
      <c r="GK23" s="342">
        <f t="shared" si="57"/>
        <v>0</v>
      </c>
      <c r="GL23" s="342">
        <f t="shared" si="58"/>
        <v>0</v>
      </c>
      <c r="GM23" s="342">
        <f t="shared" si="59"/>
        <v>0</v>
      </c>
      <c r="GN23" s="342">
        <f t="shared" si="60"/>
        <v>0</v>
      </c>
      <c r="GO23" s="342">
        <f t="shared" si="61"/>
        <v>0</v>
      </c>
      <c r="GP23" s="342">
        <f t="shared" si="62"/>
        <v>0</v>
      </c>
      <c r="GQ23" s="342">
        <f t="shared" si="63"/>
        <v>0</v>
      </c>
      <c r="GR23" s="788">
        <f t="shared" si="80"/>
        <v>0</v>
      </c>
      <c r="GS23" s="716"/>
      <c r="GV23" s="718">
        <f t="shared" si="81"/>
        <v>20</v>
      </c>
      <c r="GW23" s="735">
        <v>20</v>
      </c>
      <c r="GX23" s="518" t="s">
        <v>427</v>
      </c>
      <c r="GY23" s="322" t="s">
        <v>402</v>
      </c>
      <c r="GZ23" s="924">
        <f>GB23</f>
        <v>0</v>
      </c>
      <c r="HA23" s="788">
        <f t="shared" si="83"/>
        <v>0</v>
      </c>
      <c r="HB23" s="922">
        <f t="shared" si="109"/>
        <v>0</v>
      </c>
      <c r="HC23" s="942">
        <f t="shared" si="85"/>
        <v>0</v>
      </c>
      <c r="HD23" s="858">
        <v>-1.3227962699602358E-3</v>
      </c>
      <c r="HE23" s="54"/>
      <c r="HH23" s="54"/>
      <c r="HI23" s="54"/>
      <c r="HJ23" s="54"/>
      <c r="HK23" s="54"/>
      <c r="HL23" s="54"/>
      <c r="HM23" s="54"/>
      <c r="HN23" s="54"/>
      <c r="HQ23" s="734">
        <v>20</v>
      </c>
      <c r="HR23" s="869">
        <v>20</v>
      </c>
      <c r="HS23" s="518" t="s">
        <v>427</v>
      </c>
      <c r="HT23" s="788">
        <f t="shared" si="86"/>
        <v>0</v>
      </c>
      <c r="HU23" s="917">
        <f t="shared" si="87"/>
        <v>0</v>
      </c>
      <c r="HV23" s="870"/>
      <c r="HW23" s="768"/>
      <c r="HX23" s="870">
        <v>-1.448607</v>
      </c>
      <c r="HY23" s="769">
        <v>10</v>
      </c>
      <c r="IP23" s="734">
        <v>20</v>
      </c>
      <c r="IQ23" s="869">
        <v>20</v>
      </c>
      <c r="IR23" s="518" t="s">
        <v>427</v>
      </c>
      <c r="IS23" s="913">
        <f t="shared" si="106"/>
        <v>0</v>
      </c>
      <c r="IT23" s="915">
        <f t="shared" si="88"/>
        <v>0</v>
      </c>
      <c r="IU23" s="919">
        <f t="shared" si="89"/>
        <v>0</v>
      </c>
      <c r="IV23" s="904">
        <v>0</v>
      </c>
      <c r="IW23" s="904">
        <f t="shared" si="91"/>
        <v>0</v>
      </c>
      <c r="IX23" s="913">
        <v>0</v>
      </c>
      <c r="IY23" s="882">
        <f t="shared" si="93"/>
        <v>0</v>
      </c>
      <c r="IZ23" s="928">
        <f t="shared" ref="IZ23:IZ24" si="118">IU23</f>
        <v>0</v>
      </c>
      <c r="JA23" s="929">
        <f>IZ23</f>
        <v>0</v>
      </c>
      <c r="JB23" s="913">
        <f t="shared" si="107"/>
        <v>0</v>
      </c>
      <c r="JC23" s="883">
        <v>0</v>
      </c>
      <c r="JG23" s="734">
        <v>20</v>
      </c>
      <c r="JH23" s="869">
        <v>20</v>
      </c>
      <c r="JI23" s="518" t="s">
        <v>427</v>
      </c>
      <c r="JJ23" s="788">
        <f t="shared" si="96"/>
        <v>0</v>
      </c>
      <c r="JK23" s="917">
        <f t="shared" si="97"/>
        <v>0</v>
      </c>
      <c r="JL23" s="870">
        <v>8.734</v>
      </c>
      <c r="JM23" s="768"/>
      <c r="JN23" s="870"/>
      <c r="JO23" s="769">
        <v>10</v>
      </c>
      <c r="JT23" s="936">
        <v>0</v>
      </c>
      <c r="JU23" s="936">
        <f t="shared" si="64"/>
        <v>0</v>
      </c>
      <c r="JV23" s="13">
        <v>0</v>
      </c>
      <c r="JW23" s="13">
        <f t="shared" si="65"/>
        <v>0</v>
      </c>
    </row>
    <row r="24" spans="3:294" x14ac:dyDescent="0.3">
      <c r="J24" s="756">
        <v>21</v>
      </c>
      <c r="K24" s="757">
        <v>21</v>
      </c>
      <c r="L24" s="732" t="s">
        <v>428</v>
      </c>
      <c r="M24" s="904"/>
      <c r="N24" s="944">
        <f t="shared" si="66"/>
        <v>0</v>
      </c>
      <c r="O24" s="753">
        <v>616.79999999999995</v>
      </c>
      <c r="P24" s="948">
        <f t="shared" si="67"/>
        <v>0</v>
      </c>
      <c r="Q24" s="733">
        <f t="shared" si="68"/>
        <v>0</v>
      </c>
      <c r="R24" s="758" t="s">
        <v>402</v>
      </c>
      <c r="V24" s="730">
        <f t="shared" si="98"/>
        <v>21</v>
      </c>
      <c r="W24" s="731">
        <f t="shared" si="0"/>
        <v>21</v>
      </c>
      <c r="X24" s="732" t="s">
        <v>428</v>
      </c>
      <c r="Y24" s="924">
        <f t="shared" si="69"/>
        <v>0</v>
      </c>
      <c r="Z24" s="944">
        <f t="shared" si="70"/>
        <v>0</v>
      </c>
      <c r="AD24" s="730">
        <v>21</v>
      </c>
      <c r="AE24" s="746">
        <v>21</v>
      </c>
      <c r="AF24" s="747" t="s">
        <v>428</v>
      </c>
      <c r="AG24" s="748">
        <v>5.0999999999999996</v>
      </c>
      <c r="AQ24" s="730">
        <f t="shared" si="71"/>
        <v>21</v>
      </c>
      <c r="AR24" s="783">
        <f t="shared" si="1"/>
        <v>21</v>
      </c>
      <c r="AS24" s="732" t="s">
        <v>428</v>
      </c>
      <c r="AT24" s="732">
        <f t="shared" si="2"/>
        <v>5.0999999999999996</v>
      </c>
      <c r="AU24" s="784">
        <f t="shared" si="72"/>
        <v>0</v>
      </c>
      <c r="AV24" s="784">
        <f t="shared" si="99"/>
        <v>0</v>
      </c>
      <c r="AW24" s="785">
        <f t="shared" si="3"/>
        <v>0</v>
      </c>
      <c r="AX24" s="786">
        <f t="shared" si="4"/>
        <v>18.222331461311715</v>
      </c>
      <c r="AY24" s="379">
        <f t="shared" si="108"/>
        <v>0</v>
      </c>
      <c r="AZ24" s="51">
        <f t="shared" si="73"/>
        <v>0</v>
      </c>
      <c r="BA24" s="53">
        <f t="shared" si="5"/>
        <v>0</v>
      </c>
      <c r="BL24" s="756">
        <f t="shared" si="100"/>
        <v>21</v>
      </c>
      <c r="BM24" s="758">
        <f t="shared" si="6"/>
        <v>21</v>
      </c>
      <c r="BN24" s="732" t="s">
        <v>428</v>
      </c>
      <c r="BO24" s="733">
        <f t="shared" si="7"/>
        <v>0</v>
      </c>
      <c r="BP24" s="379">
        <f t="shared" si="74"/>
        <v>0</v>
      </c>
      <c r="BQ24" s="733">
        <f t="shared" si="8"/>
        <v>0</v>
      </c>
      <c r="BR24" s="379">
        <f t="shared" si="75"/>
        <v>0</v>
      </c>
      <c r="BS24" s="807">
        <f t="shared" si="9"/>
        <v>0</v>
      </c>
      <c r="BT24" s="808">
        <f t="shared" si="10"/>
        <v>0</v>
      </c>
      <c r="BW24" s="1"/>
      <c r="BX24" s="10"/>
      <c r="BY24" s="10"/>
      <c r="BZ24" s="10"/>
      <c r="CA24" s="10"/>
      <c r="CB24" s="10"/>
      <c r="CC24" s="10"/>
      <c r="CD24" s="10"/>
      <c r="CE24" s="10"/>
      <c r="CI24" s="730">
        <f t="shared" si="101"/>
        <v>21</v>
      </c>
      <c r="CJ24" s="746">
        <f t="shared" si="12"/>
        <v>21</v>
      </c>
      <c r="CK24" s="732" t="s">
        <v>428</v>
      </c>
      <c r="CL24" s="733">
        <f t="shared" si="13"/>
        <v>0</v>
      </c>
      <c r="CM24" s="379">
        <f t="shared" si="14"/>
        <v>0</v>
      </c>
      <c r="CN24" s="733">
        <f t="shared" si="15"/>
        <v>0</v>
      </c>
      <c r="CO24" s="379">
        <f t="shared" si="16"/>
        <v>0</v>
      </c>
      <c r="CP24" s="379">
        <f t="shared" si="17"/>
        <v>0</v>
      </c>
      <c r="CQ24" s="733">
        <f t="shared" si="18"/>
        <v>0</v>
      </c>
      <c r="CR24" s="808">
        <f t="shared" si="19"/>
        <v>0</v>
      </c>
      <c r="DE24" s="1"/>
      <c r="DH24" s="730">
        <v>21</v>
      </c>
      <c r="DI24" s="840">
        <f t="shared" si="20"/>
        <v>21</v>
      </c>
      <c r="DJ24" s="732" t="s">
        <v>428</v>
      </c>
      <c r="DK24" s="733">
        <f t="shared" si="21"/>
        <v>0</v>
      </c>
      <c r="DL24" s="379">
        <f t="shared" si="77"/>
        <v>0</v>
      </c>
      <c r="DM24" s="733">
        <f t="shared" si="22"/>
        <v>0</v>
      </c>
      <c r="DN24" s="379">
        <f t="shared" si="23"/>
        <v>0</v>
      </c>
      <c r="DO24" s="733">
        <f t="shared" si="24"/>
        <v>0</v>
      </c>
      <c r="DP24" s="379">
        <f t="shared" si="25"/>
        <v>0</v>
      </c>
      <c r="DQ24" s="379">
        <f t="shared" si="78"/>
        <v>0</v>
      </c>
      <c r="DR24" s="733">
        <f t="shared" si="26"/>
        <v>0</v>
      </c>
      <c r="DS24" s="808">
        <f t="shared" si="27"/>
        <v>0</v>
      </c>
      <c r="DW24" s="730">
        <f t="shared" si="102"/>
        <v>21</v>
      </c>
      <c r="DX24" s="840">
        <f t="shared" si="28"/>
        <v>21</v>
      </c>
      <c r="DY24" s="732" t="s">
        <v>428</v>
      </c>
      <c r="DZ24" s="733">
        <f t="shared" si="29"/>
        <v>0</v>
      </c>
      <c r="EA24" s="379">
        <f t="shared" si="30"/>
        <v>0</v>
      </c>
      <c r="EB24" s="808">
        <f t="shared" si="31"/>
        <v>0</v>
      </c>
      <c r="EN24" s="730">
        <f t="shared" si="103"/>
        <v>21</v>
      </c>
      <c r="EO24" s="840">
        <f t="shared" si="32"/>
        <v>21</v>
      </c>
      <c r="EP24" s="732" t="s">
        <v>428</v>
      </c>
      <c r="EQ24" s="733">
        <f t="shared" si="33"/>
        <v>0</v>
      </c>
      <c r="ER24" s="379">
        <f t="shared" si="34"/>
        <v>0</v>
      </c>
      <c r="ES24" s="733">
        <f t="shared" si="35"/>
        <v>0</v>
      </c>
      <c r="ET24" s="379">
        <f t="shared" si="36"/>
        <v>0</v>
      </c>
      <c r="EU24" s="733">
        <f t="shared" si="37"/>
        <v>0</v>
      </c>
      <c r="EV24" s="379">
        <f t="shared" si="38"/>
        <v>0</v>
      </c>
      <c r="EW24" s="379">
        <f t="shared" si="39"/>
        <v>0</v>
      </c>
      <c r="EX24" s="733">
        <f t="shared" si="40"/>
        <v>0</v>
      </c>
      <c r="EY24" s="808">
        <f t="shared" si="41"/>
        <v>0</v>
      </c>
      <c r="FI24" s="730">
        <f t="shared" si="104"/>
        <v>21</v>
      </c>
      <c r="FJ24" s="731">
        <f t="shared" si="42"/>
        <v>21</v>
      </c>
      <c r="FK24" s="732" t="s">
        <v>428</v>
      </c>
      <c r="FL24" s="733">
        <f t="shared" si="43"/>
        <v>0</v>
      </c>
      <c r="FM24" s="379">
        <f t="shared" si="44"/>
        <v>0</v>
      </c>
      <c r="FN24" s="808">
        <f t="shared" si="45"/>
        <v>0</v>
      </c>
      <c r="FR24" s="730">
        <f t="shared" si="105"/>
        <v>21</v>
      </c>
      <c r="FS24" s="731">
        <v>21</v>
      </c>
      <c r="FT24" s="732" t="s">
        <v>428</v>
      </c>
      <c r="FU24" s="379">
        <f t="shared" si="46"/>
        <v>0</v>
      </c>
      <c r="FV24" s="379">
        <f>VLOOKUP(FS24,$BM$4:$BT$86,$FV$30,FALSE)</f>
        <v>0</v>
      </c>
      <c r="FW24" s="379">
        <f t="shared" si="48"/>
        <v>0</v>
      </c>
      <c r="FX24" s="379">
        <f t="shared" si="49"/>
        <v>0</v>
      </c>
      <c r="FY24" s="379">
        <f t="shared" si="50"/>
        <v>0</v>
      </c>
      <c r="FZ24" s="379">
        <f t="shared" si="51"/>
        <v>0</v>
      </c>
      <c r="GA24" s="379">
        <f t="shared" si="52"/>
        <v>0</v>
      </c>
      <c r="GB24" s="379">
        <f>SUM(FU24:GA24)</f>
        <v>0</v>
      </c>
      <c r="GC24" s="852">
        <f t="shared" si="54"/>
        <v>0</v>
      </c>
      <c r="GG24" s="730">
        <f t="shared" si="79"/>
        <v>21</v>
      </c>
      <c r="GH24" s="731">
        <f t="shared" si="55"/>
        <v>21</v>
      </c>
      <c r="GI24" s="732" t="s">
        <v>428</v>
      </c>
      <c r="GJ24" s="808">
        <f t="shared" si="56"/>
        <v>0</v>
      </c>
      <c r="GK24" s="808">
        <f t="shared" si="57"/>
        <v>0</v>
      </c>
      <c r="GL24" s="808">
        <f t="shared" si="58"/>
        <v>0</v>
      </c>
      <c r="GM24" s="808">
        <f t="shared" si="59"/>
        <v>0</v>
      </c>
      <c r="GN24" s="808">
        <f t="shared" si="60"/>
        <v>0</v>
      </c>
      <c r="GO24" s="808">
        <f t="shared" si="61"/>
        <v>0</v>
      </c>
      <c r="GP24" s="808">
        <f t="shared" si="62"/>
        <v>0</v>
      </c>
      <c r="GQ24" s="808">
        <f t="shared" si="63"/>
        <v>0</v>
      </c>
      <c r="GR24" s="784">
        <f t="shared" si="80"/>
        <v>0</v>
      </c>
      <c r="GS24" s="716"/>
      <c r="GV24" s="717">
        <f t="shared" si="81"/>
        <v>21</v>
      </c>
      <c r="GW24" s="731">
        <v>21</v>
      </c>
      <c r="GX24" s="732" t="s">
        <v>428</v>
      </c>
      <c r="GY24" s="758" t="s">
        <v>402</v>
      </c>
      <c r="GZ24" s="906">
        <f t="shared" si="82"/>
        <v>0</v>
      </c>
      <c r="HA24" s="784">
        <f t="shared" si="83"/>
        <v>0</v>
      </c>
      <c r="HB24" s="922">
        <f t="shared" si="109"/>
        <v>0</v>
      </c>
      <c r="HC24" s="942">
        <f t="shared" si="85"/>
        <v>0</v>
      </c>
      <c r="HD24" s="857">
        <v>-5.9903747751377523E-4</v>
      </c>
      <c r="HE24" s="54"/>
      <c r="HH24" s="54"/>
      <c r="HI24" s="54"/>
      <c r="HJ24" s="54"/>
      <c r="HK24" s="54"/>
      <c r="HL24" s="54"/>
      <c r="HM24" s="54"/>
      <c r="HN24" s="54"/>
      <c r="HQ24" s="730">
        <v>21</v>
      </c>
      <c r="HR24" s="867">
        <v>21</v>
      </c>
      <c r="HS24" s="732" t="s">
        <v>428</v>
      </c>
      <c r="HT24" s="784">
        <f t="shared" si="86"/>
        <v>0</v>
      </c>
      <c r="HU24" s="917">
        <f t="shared" si="87"/>
        <v>0</v>
      </c>
      <c r="HV24" s="868"/>
      <c r="HW24" s="765"/>
      <c r="HX24" s="868">
        <v>-1.6913859999999996</v>
      </c>
      <c r="HY24" s="766">
        <v>10</v>
      </c>
      <c r="IP24" s="730">
        <v>21</v>
      </c>
      <c r="IQ24" s="867">
        <v>21</v>
      </c>
      <c r="IR24" s="732" t="s">
        <v>428</v>
      </c>
      <c r="IS24" s="913">
        <f t="shared" si="106"/>
        <v>0</v>
      </c>
      <c r="IT24" s="915">
        <f t="shared" si="88"/>
        <v>0</v>
      </c>
      <c r="IU24" s="918">
        <f t="shared" si="89"/>
        <v>0</v>
      </c>
      <c r="IV24" s="904">
        <v>0</v>
      </c>
      <c r="IW24" s="904">
        <f t="shared" si="91"/>
        <v>0</v>
      </c>
      <c r="IX24" s="913">
        <v>0</v>
      </c>
      <c r="IY24" s="881">
        <f t="shared" si="93"/>
        <v>0</v>
      </c>
      <c r="IZ24" s="928">
        <f t="shared" si="118"/>
        <v>0</v>
      </c>
      <c r="JA24" s="928">
        <v>8.3326989999999999</v>
      </c>
      <c r="JB24" s="913">
        <f t="shared" si="107"/>
        <v>0</v>
      </c>
      <c r="JC24" s="852">
        <v>0</v>
      </c>
      <c r="JG24" s="730">
        <v>21</v>
      </c>
      <c r="JH24" s="867">
        <v>21</v>
      </c>
      <c r="JI24" s="732" t="s">
        <v>428</v>
      </c>
      <c r="JJ24" s="784">
        <f t="shared" si="96"/>
        <v>0</v>
      </c>
      <c r="JK24" s="917">
        <f t="shared" si="97"/>
        <v>0</v>
      </c>
      <c r="JL24" s="868">
        <v>10.023999999999999</v>
      </c>
      <c r="JM24" s="765"/>
      <c r="JN24" s="868"/>
      <c r="JO24" s="766">
        <v>10</v>
      </c>
      <c r="JT24" s="936">
        <v>5.1923509265402581</v>
      </c>
      <c r="JU24" s="936">
        <f t="shared" si="64"/>
        <v>2.3254363825403246E-2</v>
      </c>
      <c r="JV24" s="13">
        <v>97572642</v>
      </c>
      <c r="JW24" s="13">
        <f t="shared" si="65"/>
        <v>-1042075.3598138392</v>
      </c>
    </row>
    <row r="25" spans="3:294" x14ac:dyDescent="0.3">
      <c r="J25" s="338">
        <v>22</v>
      </c>
      <c r="K25" s="759">
        <v>22</v>
      </c>
      <c r="L25" s="518" t="s">
        <v>429</v>
      </c>
      <c r="M25" s="904">
        <v>96530566.640186161</v>
      </c>
      <c r="N25" s="943">
        <f t="shared" si="66"/>
        <v>4.4071899592751373E-2</v>
      </c>
      <c r="O25" s="455">
        <v>1460.4614875157295</v>
      </c>
      <c r="P25" s="948">
        <f t="shared" si="67"/>
        <v>66095.934377828991</v>
      </c>
      <c r="Q25" s="659">
        <f t="shared" si="68"/>
        <v>3.7786264476653127E-2</v>
      </c>
      <c r="R25" s="322" t="s">
        <v>397</v>
      </c>
      <c r="V25" s="734">
        <f t="shared" si="98"/>
        <v>22</v>
      </c>
      <c r="W25" s="735">
        <f t="shared" si="0"/>
        <v>22</v>
      </c>
      <c r="X25" s="518" t="s">
        <v>429</v>
      </c>
      <c r="Y25" s="924">
        <f t="shared" si="69"/>
        <v>3888899.0341136567</v>
      </c>
      <c r="Z25" s="943">
        <f t="shared" si="70"/>
        <v>4.6623256093206999E-2</v>
      </c>
      <c r="AD25" s="734">
        <v>22</v>
      </c>
      <c r="AE25" s="146">
        <v>22</v>
      </c>
      <c r="AF25" s="347" t="s">
        <v>429</v>
      </c>
      <c r="AG25" s="369">
        <v>3.68</v>
      </c>
      <c r="AQ25" s="734">
        <f t="shared" si="71"/>
        <v>22</v>
      </c>
      <c r="AR25" s="787">
        <f t="shared" si="1"/>
        <v>22</v>
      </c>
      <c r="AS25" s="518" t="s">
        <v>429</v>
      </c>
      <c r="AT25" s="518">
        <f t="shared" si="2"/>
        <v>3.68</v>
      </c>
      <c r="AU25" s="788">
        <f t="shared" si="72"/>
        <v>96530566.640186161</v>
      </c>
      <c r="AV25" s="788">
        <f t="shared" si="99"/>
        <v>98675.690343301409</v>
      </c>
      <c r="AW25" s="789">
        <f t="shared" si="3"/>
        <v>102908.64626719565</v>
      </c>
      <c r="AX25" s="790">
        <f t="shared" si="4"/>
        <v>18.222331461311715</v>
      </c>
      <c r="AY25" s="358">
        <f t="shared" si="108"/>
        <v>1875235.4625157176</v>
      </c>
      <c r="AZ25" s="35">
        <f t="shared" si="73"/>
        <v>5.2266356661418649E-2</v>
      </c>
      <c r="BA25" s="55">
        <f t="shared" si="5"/>
        <v>1.942634</v>
      </c>
      <c r="BL25" s="338">
        <f t="shared" si="100"/>
        <v>22</v>
      </c>
      <c r="BM25" s="322">
        <f t="shared" si="6"/>
        <v>22</v>
      </c>
      <c r="BN25" s="518" t="s">
        <v>429</v>
      </c>
      <c r="BO25" s="659">
        <f t="shared" si="7"/>
        <v>5.2266356661418649E-2</v>
      </c>
      <c r="BP25" s="358">
        <f t="shared" si="74"/>
        <v>410583.53551484371</v>
      </c>
      <c r="BQ25" s="659">
        <f t="shared" si="8"/>
        <v>4.4071899592751373E-2</v>
      </c>
      <c r="BR25" s="358">
        <f t="shared" si="75"/>
        <v>346211.16732638748</v>
      </c>
      <c r="BS25" s="809">
        <f t="shared" si="9"/>
        <v>756794.70284123113</v>
      </c>
      <c r="BT25" s="810">
        <f t="shared" si="10"/>
        <v>0.783995</v>
      </c>
      <c r="BW25" s="1"/>
      <c r="BX25" s="10"/>
      <c r="BY25" s="10"/>
      <c r="BZ25" s="10"/>
      <c r="CA25" s="10"/>
      <c r="CB25" s="10"/>
      <c r="CC25" s="10"/>
      <c r="CD25" s="10"/>
      <c r="CE25" s="10"/>
      <c r="CI25" s="734">
        <f t="shared" si="101"/>
        <v>22</v>
      </c>
      <c r="CJ25" s="146">
        <f t="shared" si="12"/>
        <v>22</v>
      </c>
      <c r="CK25" s="518" t="s">
        <v>429</v>
      </c>
      <c r="CL25" s="344">
        <f t="shared" si="13"/>
        <v>4.4071899592751373E-2</v>
      </c>
      <c r="CM25" s="20">
        <f t="shared" si="14"/>
        <v>235971.53316880579</v>
      </c>
      <c r="CN25" s="344">
        <f t="shared" si="15"/>
        <v>3.7786264476653127E-2</v>
      </c>
      <c r="CO25" s="20">
        <f t="shared" si="16"/>
        <v>657523.62234531494</v>
      </c>
      <c r="CP25" s="20">
        <f t="shared" si="17"/>
        <v>893495.15551412071</v>
      </c>
      <c r="CQ25" s="344">
        <f t="shared" si="18"/>
        <v>3.926524735485671E-2</v>
      </c>
      <c r="CR25" s="342">
        <f t="shared" si="19"/>
        <v>0.92560900000000002</v>
      </c>
      <c r="DE25" s="1"/>
      <c r="DH25" s="734">
        <v>22</v>
      </c>
      <c r="DI25" s="745">
        <f t="shared" si="20"/>
        <v>22</v>
      </c>
      <c r="DJ25" s="518" t="s">
        <v>429</v>
      </c>
      <c r="DK25" s="344">
        <f t="shared" si="21"/>
        <v>3.926524735485671E-2</v>
      </c>
      <c r="DL25" s="20">
        <f t="shared" si="77"/>
        <v>12327.570389543971</v>
      </c>
      <c r="DM25" s="344">
        <f t="shared" si="22"/>
        <v>3.7786264476653127E-2</v>
      </c>
      <c r="DN25" s="20">
        <f t="shared" si="23"/>
        <v>73418.734253963819</v>
      </c>
      <c r="DO25" s="344">
        <f t="shared" si="24"/>
        <v>4.4071899592751373E-2</v>
      </c>
      <c r="DP25" s="20">
        <f t="shared" si="25"/>
        <v>142572.73444829788</v>
      </c>
      <c r="DQ25" s="20">
        <f t="shared" si="78"/>
        <v>228319.03909180567</v>
      </c>
      <c r="DR25" s="344">
        <f t="shared" si="26"/>
        <v>4.1573325077852802E-2</v>
      </c>
      <c r="DS25" s="342">
        <f t="shared" si="27"/>
        <v>0.23652500000000001</v>
      </c>
      <c r="DW25" s="734">
        <f t="shared" si="102"/>
        <v>22</v>
      </c>
      <c r="DX25" s="745">
        <f t="shared" si="28"/>
        <v>22</v>
      </c>
      <c r="DY25" s="518" t="s">
        <v>429</v>
      </c>
      <c r="DZ25" s="344">
        <f t="shared" si="29"/>
        <v>3.7786264476653127E-2</v>
      </c>
      <c r="EA25" s="20">
        <f t="shared" si="30"/>
        <v>135054.67415078194</v>
      </c>
      <c r="EB25" s="342">
        <f t="shared" si="31"/>
        <v>0.13990900000000001</v>
      </c>
      <c r="EN25" s="734">
        <f t="shared" si="103"/>
        <v>22</v>
      </c>
      <c r="EO25" s="745">
        <f t="shared" si="32"/>
        <v>22</v>
      </c>
      <c r="EP25" s="518" t="s">
        <v>429</v>
      </c>
      <c r="EQ25" s="344">
        <f t="shared" si="33"/>
        <v>4.6623256093206999E-2</v>
      </c>
      <c r="ER25" s="20">
        <f t="shared" si="34"/>
        <v>331629.65218643151</v>
      </c>
      <c r="ES25" s="344">
        <f t="shared" si="35"/>
        <v>3.926524735485671E-2</v>
      </c>
      <c r="ET25" s="20">
        <f t="shared" si="36"/>
        <v>37656.32287420892</v>
      </c>
      <c r="EU25" s="344">
        <f t="shared" si="37"/>
        <v>4.4071899592751373E-2</v>
      </c>
      <c r="EV25" s="20">
        <f t="shared" si="38"/>
        <v>113237.54314584719</v>
      </c>
      <c r="EW25" s="20">
        <f t="shared" si="39"/>
        <v>482523.51820648764</v>
      </c>
      <c r="EX25" s="344">
        <f t="shared" si="40"/>
        <v>4.5344105510437424E-2</v>
      </c>
      <c r="EY25" s="342">
        <f t="shared" si="41"/>
        <v>0.49986599999999998</v>
      </c>
      <c r="FI25" s="734">
        <f t="shared" si="104"/>
        <v>22</v>
      </c>
      <c r="FJ25" s="735">
        <f t="shared" si="42"/>
        <v>22</v>
      </c>
      <c r="FK25" s="518" t="s">
        <v>429</v>
      </c>
      <c r="FL25" s="344">
        <f t="shared" si="43"/>
        <v>4.6623256093206999E-2</v>
      </c>
      <c r="FM25" s="20">
        <f t="shared" si="44"/>
        <v>876220.15709773113</v>
      </c>
      <c r="FN25" s="342">
        <f t="shared" si="45"/>
        <v>0.90771299999999999</v>
      </c>
      <c r="FR25" s="734">
        <f t="shared" si="105"/>
        <v>22</v>
      </c>
      <c r="FS25" s="735">
        <v>22</v>
      </c>
      <c r="FT25" s="518" t="s">
        <v>429</v>
      </c>
      <c r="FU25" s="20">
        <f t="shared" si="46"/>
        <v>1875235.4625157176</v>
      </c>
      <c r="FV25" s="20">
        <f t="shared" si="47"/>
        <v>756794.70284123113</v>
      </c>
      <c r="FW25" s="20">
        <f t="shared" si="48"/>
        <v>893495.15551412071</v>
      </c>
      <c r="FX25" s="20">
        <f t="shared" si="49"/>
        <v>228319.03909180567</v>
      </c>
      <c r="FY25" s="20">
        <f t="shared" si="50"/>
        <v>135054.67415078194</v>
      </c>
      <c r="FZ25" s="20">
        <f t="shared" si="51"/>
        <v>482523.51820648764</v>
      </c>
      <c r="GA25" s="20">
        <f t="shared" si="52"/>
        <v>876220.15709773113</v>
      </c>
      <c r="GB25" s="20">
        <f t="shared" ref="GB25:GB27" si="119">SUM(FU25:GA25)</f>
        <v>5247642.7094178749</v>
      </c>
      <c r="GC25" s="414">
        <f t="shared" si="54"/>
        <v>5.4362500000000002</v>
      </c>
      <c r="GG25" s="734">
        <f t="shared" si="79"/>
        <v>22</v>
      </c>
      <c r="GH25" s="735">
        <f t="shared" si="55"/>
        <v>22</v>
      </c>
      <c r="GI25" s="518" t="s">
        <v>429</v>
      </c>
      <c r="GJ25" s="342">
        <f t="shared" si="56"/>
        <v>1.942634</v>
      </c>
      <c r="GK25" s="342">
        <f t="shared" si="57"/>
        <v>0.783995</v>
      </c>
      <c r="GL25" s="342">
        <f t="shared" si="58"/>
        <v>0.92560900000000002</v>
      </c>
      <c r="GM25" s="342">
        <f t="shared" si="59"/>
        <v>0.23652500000000001</v>
      </c>
      <c r="GN25" s="342">
        <f t="shared" si="60"/>
        <v>0.13990900000000001</v>
      </c>
      <c r="GO25" s="342">
        <f t="shared" si="61"/>
        <v>0.49986599999999998</v>
      </c>
      <c r="GP25" s="342">
        <f t="shared" si="62"/>
        <v>0.90771299999999999</v>
      </c>
      <c r="GQ25" s="342">
        <f t="shared" si="63"/>
        <v>5.4362500000000002</v>
      </c>
      <c r="GR25" s="788">
        <f t="shared" si="80"/>
        <v>96530566.640186161</v>
      </c>
      <c r="GS25" s="716"/>
      <c r="GV25" s="718">
        <f t="shared" si="81"/>
        <v>22</v>
      </c>
      <c r="GW25" s="735">
        <v>22</v>
      </c>
      <c r="GX25" s="518" t="s">
        <v>429</v>
      </c>
      <c r="GY25" s="322" t="s">
        <v>397</v>
      </c>
      <c r="GZ25" s="924">
        <f t="shared" si="82"/>
        <v>5247642.7094178749</v>
      </c>
      <c r="HA25" s="788">
        <f t="shared" si="83"/>
        <v>96530566.640186161</v>
      </c>
      <c r="HB25" s="922">
        <f t="shared" si="109"/>
        <v>5.4362500000000002</v>
      </c>
      <c r="HC25" s="942">
        <f t="shared" si="85"/>
        <v>5247642.9289771207</v>
      </c>
      <c r="HD25" s="858">
        <v>0.21602247189730406</v>
      </c>
      <c r="HE25" s="54"/>
      <c r="HH25" s="54"/>
      <c r="HI25" s="54"/>
      <c r="HJ25" s="54"/>
      <c r="HK25" s="54"/>
      <c r="HL25" s="54"/>
      <c r="HM25" s="54"/>
      <c r="HN25" s="54"/>
      <c r="HQ25" s="734">
        <v>22</v>
      </c>
      <c r="HR25" s="869">
        <v>22</v>
      </c>
      <c r="HS25" s="518" t="s">
        <v>429</v>
      </c>
      <c r="HT25" s="788">
        <f t="shared" si="86"/>
        <v>96530566.640186161</v>
      </c>
      <c r="HU25" s="917">
        <f t="shared" si="87"/>
        <v>5.4362500000000002</v>
      </c>
      <c r="HV25" s="870"/>
      <c r="HW25" s="768"/>
      <c r="HX25" s="870">
        <v>-1.3005939999999994</v>
      </c>
      <c r="HY25" s="769">
        <v>10</v>
      </c>
      <c r="IP25" s="734">
        <v>22</v>
      </c>
      <c r="IQ25" s="869">
        <v>22</v>
      </c>
      <c r="IR25" s="518" t="s">
        <v>429</v>
      </c>
      <c r="IS25" s="913">
        <f t="shared" si="106"/>
        <v>5247642.9289771207</v>
      </c>
      <c r="IT25" s="915">
        <f t="shared" si="88"/>
        <v>96530566.640186161</v>
      </c>
      <c r="IU25" s="919">
        <f t="shared" si="89"/>
        <v>5.4362500000000002</v>
      </c>
      <c r="IV25" s="904">
        <f t="shared" ref="IV25:IV26" si="120">IT25*$IK$4/(1-$IL$4)</f>
        <v>14199305.898108097</v>
      </c>
      <c r="IW25" s="904">
        <f t="shared" si="91"/>
        <v>82331260.742078066</v>
      </c>
      <c r="IX25" s="913">
        <f t="shared" ref="IX25:IX26" si="121">IV25*$II$4</f>
        <v>212989.58847162145</v>
      </c>
      <c r="IY25" s="882">
        <f t="shared" si="93"/>
        <v>5034653.3405054994</v>
      </c>
      <c r="IZ25" s="928">
        <f t="shared" ref="IZ25:IZ26" si="122">100*IY25/IT25</f>
        <v>5.2156052903656613</v>
      </c>
      <c r="JA25" s="928">
        <f t="shared" ref="JA25:JA26" si="123">IZ25+1.5</f>
        <v>6.7156052903656613</v>
      </c>
      <c r="JB25" s="913">
        <f t="shared" si="107"/>
        <v>5247642.9289771207</v>
      </c>
      <c r="JC25" s="414">
        <v>0.22223330814769415</v>
      </c>
      <c r="JG25" s="734">
        <v>22</v>
      </c>
      <c r="JH25" s="869">
        <v>22</v>
      </c>
      <c r="JI25" s="518" t="s">
        <v>429</v>
      </c>
      <c r="JJ25" s="788">
        <f t="shared" si="96"/>
        <v>96530566.640186161</v>
      </c>
      <c r="JK25" s="917">
        <f t="shared" si="97"/>
        <v>5.2156052903656613</v>
      </c>
      <c r="JL25" s="870">
        <v>6.5339999999999998</v>
      </c>
      <c r="JM25" s="768"/>
      <c r="JN25" s="870"/>
      <c r="JO25" s="769">
        <v>10</v>
      </c>
      <c r="JT25" s="936">
        <v>16.515133926540258</v>
      </c>
      <c r="JU25" s="936">
        <f t="shared" si="64"/>
        <v>8.6063363825406469E-2</v>
      </c>
      <c r="JV25" s="13">
        <v>578417</v>
      </c>
      <c r="JW25" s="13">
        <f t="shared" si="65"/>
        <v>-3188.1240965996403</v>
      </c>
    </row>
    <row r="26" spans="3:294" x14ac:dyDescent="0.3">
      <c r="J26" s="756">
        <v>23</v>
      </c>
      <c r="K26" s="757">
        <v>23</v>
      </c>
      <c r="L26" s="732" t="s">
        <v>430</v>
      </c>
      <c r="M26" s="904">
        <v>575228.87590340036</v>
      </c>
      <c r="N26" s="944">
        <f t="shared" si="66"/>
        <v>2.6262592403670788E-4</v>
      </c>
      <c r="O26" s="753">
        <v>244.63589743589745</v>
      </c>
      <c r="P26" s="948">
        <f t="shared" si="67"/>
        <v>2351.367407369677</v>
      </c>
      <c r="Q26" s="733">
        <f t="shared" si="68"/>
        <v>1.3442489552951407E-3</v>
      </c>
      <c r="R26" s="758" t="s">
        <v>397</v>
      </c>
      <c r="V26" s="730">
        <f t="shared" si="98"/>
        <v>23</v>
      </c>
      <c r="W26" s="731">
        <f t="shared" si="0"/>
        <v>23</v>
      </c>
      <c r="X26" s="732" t="s">
        <v>430</v>
      </c>
      <c r="Y26" s="924">
        <f t="shared" si="69"/>
        <v>72520.218962680563</v>
      </c>
      <c r="Z26" s="944">
        <f t="shared" si="70"/>
        <v>8.6943083658717738E-4</v>
      </c>
      <c r="AD26" s="730">
        <v>23</v>
      </c>
      <c r="AE26" s="746">
        <v>23</v>
      </c>
      <c r="AF26" s="747" t="s">
        <v>430</v>
      </c>
      <c r="AG26" s="748">
        <v>10.01</v>
      </c>
      <c r="AQ26" s="730">
        <f t="shared" si="71"/>
        <v>23</v>
      </c>
      <c r="AR26" s="783">
        <f t="shared" si="1"/>
        <v>23</v>
      </c>
      <c r="AS26" s="732" t="s">
        <v>430</v>
      </c>
      <c r="AT26" s="732">
        <f t="shared" si="2"/>
        <v>10.01</v>
      </c>
      <c r="AU26" s="784">
        <f t="shared" si="72"/>
        <v>575228.87590340036</v>
      </c>
      <c r="AV26" s="784">
        <f t="shared" si="99"/>
        <v>1599.4558466091771</v>
      </c>
      <c r="AW26" s="785">
        <f t="shared" si="3"/>
        <v>1668.0687549897184</v>
      </c>
      <c r="AX26" s="786">
        <f t="shared" si="4"/>
        <v>18.222331461311715</v>
      </c>
      <c r="AY26" s="379">
        <f t="shared" si="108"/>
        <v>30396.101753680206</v>
      </c>
      <c r="AZ26" s="51">
        <f t="shared" si="73"/>
        <v>8.471968065510635E-4</v>
      </c>
      <c r="BA26" s="53">
        <f t="shared" si="5"/>
        <v>5.2841750000000003</v>
      </c>
      <c r="BL26" s="756">
        <f t="shared" si="100"/>
        <v>23</v>
      </c>
      <c r="BM26" s="758">
        <f t="shared" si="6"/>
        <v>23</v>
      </c>
      <c r="BN26" s="732" t="s">
        <v>430</v>
      </c>
      <c r="BO26" s="733">
        <f t="shared" si="7"/>
        <v>8.471968065510635E-4</v>
      </c>
      <c r="BP26" s="379">
        <f t="shared" si="74"/>
        <v>6655.2383278589768</v>
      </c>
      <c r="BQ26" s="733">
        <f t="shared" si="8"/>
        <v>2.6262592403670788E-4</v>
      </c>
      <c r="BR26" s="379">
        <f t="shared" si="75"/>
        <v>2063.0839281062968</v>
      </c>
      <c r="BS26" s="807">
        <f t="shared" si="9"/>
        <v>8718.3222559652731</v>
      </c>
      <c r="BT26" s="808">
        <f t="shared" si="10"/>
        <v>1.5156270000000001</v>
      </c>
      <c r="BW26" s="1"/>
      <c r="BX26" s="10"/>
      <c r="BY26" s="10"/>
      <c r="BZ26" s="10"/>
      <c r="CA26" s="10"/>
      <c r="CB26" s="10"/>
      <c r="CC26" s="10"/>
      <c r="CD26" s="10"/>
      <c r="CE26" s="10"/>
      <c r="CI26" s="730">
        <f t="shared" si="101"/>
        <v>23</v>
      </c>
      <c r="CJ26" s="746">
        <f t="shared" si="12"/>
        <v>23</v>
      </c>
      <c r="CK26" s="732" t="s">
        <v>430</v>
      </c>
      <c r="CL26" s="733">
        <f t="shared" si="13"/>
        <v>2.6262592403670788E-4</v>
      </c>
      <c r="CM26" s="379">
        <f t="shared" si="14"/>
        <v>1406.1622602491368</v>
      </c>
      <c r="CN26" s="733">
        <f t="shared" si="15"/>
        <v>1.3442489552951407E-3</v>
      </c>
      <c r="CO26" s="379">
        <f t="shared" si="16"/>
        <v>23391.448047628084</v>
      </c>
      <c r="CP26" s="379">
        <f t="shared" si="17"/>
        <v>24797.610307877221</v>
      </c>
      <c r="CQ26" s="733">
        <f t="shared" si="18"/>
        <v>1.0897477132798573E-3</v>
      </c>
      <c r="CR26" s="808">
        <f t="shared" si="19"/>
        <v>4.3109120000000001</v>
      </c>
      <c r="DE26" s="1"/>
      <c r="DH26" s="730">
        <v>23</v>
      </c>
      <c r="DI26" s="840">
        <f t="shared" si="20"/>
        <v>23</v>
      </c>
      <c r="DJ26" s="732" t="s">
        <v>430</v>
      </c>
      <c r="DK26" s="733">
        <f t="shared" si="21"/>
        <v>1.0897477132798573E-3</v>
      </c>
      <c r="DL26" s="379">
        <f t="shared" si="77"/>
        <v>342.13312145709381</v>
      </c>
      <c r="DM26" s="733">
        <f t="shared" si="22"/>
        <v>1.3442489552951407E-3</v>
      </c>
      <c r="DN26" s="379">
        <f t="shared" si="23"/>
        <v>2611.876516160034</v>
      </c>
      <c r="DO26" s="733">
        <f t="shared" si="24"/>
        <v>2.6262592403670788E-4</v>
      </c>
      <c r="DP26" s="379">
        <f t="shared" si="25"/>
        <v>849.59569414799648</v>
      </c>
      <c r="DQ26" s="379">
        <f t="shared" si="78"/>
        <v>3803.605331765124</v>
      </c>
      <c r="DR26" s="733">
        <f t="shared" si="26"/>
        <v>6.9257702535154399E-4</v>
      </c>
      <c r="DS26" s="808">
        <f t="shared" si="27"/>
        <v>0.66123299999999996</v>
      </c>
      <c r="DW26" s="730">
        <f t="shared" si="102"/>
        <v>23</v>
      </c>
      <c r="DX26" s="840">
        <f t="shared" si="28"/>
        <v>23</v>
      </c>
      <c r="DY26" s="732" t="s">
        <v>430</v>
      </c>
      <c r="DZ26" s="733">
        <f t="shared" si="29"/>
        <v>1.3442489552951407E-3</v>
      </c>
      <c r="EA26" s="379">
        <f t="shared" si="30"/>
        <v>4804.5793133927327</v>
      </c>
      <c r="EB26" s="808">
        <f t="shared" si="31"/>
        <v>0.83524699999999996</v>
      </c>
      <c r="EN26" s="730">
        <f t="shared" si="103"/>
        <v>23</v>
      </c>
      <c r="EO26" s="840">
        <f t="shared" si="32"/>
        <v>23</v>
      </c>
      <c r="EP26" s="732" t="s">
        <v>430</v>
      </c>
      <c r="EQ26" s="733">
        <f t="shared" si="33"/>
        <v>8.6943083658717738E-4</v>
      </c>
      <c r="ER26" s="379">
        <f t="shared" si="34"/>
        <v>6184.2322930245391</v>
      </c>
      <c r="ES26" s="733">
        <f t="shared" si="35"/>
        <v>1.0897477132798573E-3</v>
      </c>
      <c r="ET26" s="379">
        <f t="shared" si="36"/>
        <v>1045.0944411947385</v>
      </c>
      <c r="EU26" s="733">
        <f t="shared" si="37"/>
        <v>2.6262592403670788E-4</v>
      </c>
      <c r="EV26" s="379">
        <f t="shared" si="38"/>
        <v>674.7863078090686</v>
      </c>
      <c r="EW26" s="379">
        <f t="shared" si="39"/>
        <v>7904.1130420283462</v>
      </c>
      <c r="EX26" s="733">
        <f t="shared" si="40"/>
        <v>7.4277195249742125E-4</v>
      </c>
      <c r="EY26" s="808">
        <f t="shared" si="41"/>
        <v>1.3740810000000001</v>
      </c>
      <c r="FI26" s="730">
        <f t="shared" si="104"/>
        <v>23</v>
      </c>
      <c r="FJ26" s="731">
        <f t="shared" si="42"/>
        <v>23</v>
      </c>
      <c r="FK26" s="732" t="s">
        <v>430</v>
      </c>
      <c r="FL26" s="733">
        <f t="shared" si="43"/>
        <v>8.6943083658717738E-4</v>
      </c>
      <c r="FM26" s="379">
        <f t="shared" si="44"/>
        <v>16339.760198151933</v>
      </c>
      <c r="FN26" s="808">
        <f t="shared" si="45"/>
        <v>2.8405670000000001</v>
      </c>
      <c r="FR26" s="730">
        <f t="shared" si="105"/>
        <v>23</v>
      </c>
      <c r="FS26" s="731">
        <v>23</v>
      </c>
      <c r="FT26" s="732" t="s">
        <v>430</v>
      </c>
      <c r="FU26" s="379">
        <f t="shared" si="46"/>
        <v>30396.101753680206</v>
      </c>
      <c r="FV26" s="379">
        <f t="shared" si="47"/>
        <v>8718.3222559652731</v>
      </c>
      <c r="FW26" s="379">
        <f t="shared" si="48"/>
        <v>24797.610307877221</v>
      </c>
      <c r="FX26" s="379">
        <f t="shared" si="49"/>
        <v>3803.605331765124</v>
      </c>
      <c r="FY26" s="379">
        <f t="shared" si="50"/>
        <v>4804.5793133927327</v>
      </c>
      <c r="FZ26" s="379">
        <f t="shared" si="51"/>
        <v>7904.1130420283462</v>
      </c>
      <c r="GA26" s="379">
        <f t="shared" si="52"/>
        <v>16339.760198151933</v>
      </c>
      <c r="GB26" s="379">
        <f t="shared" si="119"/>
        <v>96764.092202860833</v>
      </c>
      <c r="GC26" s="852">
        <f t="shared" si="54"/>
        <v>16.821842</v>
      </c>
      <c r="GG26" s="730">
        <f t="shared" si="79"/>
        <v>23</v>
      </c>
      <c r="GH26" s="731">
        <f t="shared" si="55"/>
        <v>23</v>
      </c>
      <c r="GI26" s="732" t="s">
        <v>430</v>
      </c>
      <c r="GJ26" s="808">
        <f t="shared" si="56"/>
        <v>5.2841750000000003</v>
      </c>
      <c r="GK26" s="808">
        <f t="shared" si="57"/>
        <v>1.5156270000000001</v>
      </c>
      <c r="GL26" s="808">
        <f t="shared" si="58"/>
        <v>4.3109120000000001</v>
      </c>
      <c r="GM26" s="808">
        <f t="shared" si="59"/>
        <v>0.66123299999999996</v>
      </c>
      <c r="GN26" s="808">
        <f t="shared" si="60"/>
        <v>0.83524699999999996</v>
      </c>
      <c r="GO26" s="808">
        <f t="shared" si="61"/>
        <v>1.3740810000000001</v>
      </c>
      <c r="GP26" s="808">
        <f t="shared" si="62"/>
        <v>2.8405670000000001</v>
      </c>
      <c r="GQ26" s="808">
        <f t="shared" si="63"/>
        <v>16.821842</v>
      </c>
      <c r="GR26" s="784">
        <f t="shared" si="80"/>
        <v>575228.87590340036</v>
      </c>
      <c r="GS26" s="716"/>
      <c r="GV26" s="717">
        <f t="shared" si="81"/>
        <v>23</v>
      </c>
      <c r="GW26" s="731">
        <v>23</v>
      </c>
      <c r="GX26" s="732" t="s">
        <v>430</v>
      </c>
      <c r="GY26" s="758" t="s">
        <v>397</v>
      </c>
      <c r="GZ26" s="906">
        <f t="shared" si="82"/>
        <v>96764.092202860833</v>
      </c>
      <c r="HA26" s="784">
        <f t="shared" si="83"/>
        <v>575228.87590340036</v>
      </c>
      <c r="HB26" s="922">
        <f t="shared" si="109"/>
        <v>16.821842</v>
      </c>
      <c r="HC26" s="942">
        <f t="shared" si="85"/>
        <v>96764.092642846095</v>
      </c>
      <c r="HD26" s="857">
        <v>-1.6334650717908517E-3</v>
      </c>
      <c r="HE26" s="54"/>
      <c r="HH26" s="54"/>
      <c r="HI26" s="54"/>
      <c r="HJ26" s="54"/>
      <c r="HK26" s="54"/>
      <c r="HL26" s="54"/>
      <c r="HM26" s="54"/>
      <c r="HN26" s="54"/>
      <c r="HQ26" s="730">
        <v>23</v>
      </c>
      <c r="HR26" s="867">
        <v>23</v>
      </c>
      <c r="HS26" s="732" t="s">
        <v>430</v>
      </c>
      <c r="HT26" s="784">
        <f t="shared" si="86"/>
        <v>575228.87590340036</v>
      </c>
      <c r="HU26" s="917">
        <f t="shared" si="87"/>
        <v>16.821842</v>
      </c>
      <c r="HV26" s="868"/>
      <c r="HW26" s="765"/>
      <c r="HX26" s="868">
        <v>-2.4698649999999986</v>
      </c>
      <c r="HY26" s="766">
        <v>25</v>
      </c>
      <c r="IP26" s="730">
        <v>23</v>
      </c>
      <c r="IQ26" s="867">
        <v>23</v>
      </c>
      <c r="IR26" s="732" t="s">
        <v>430</v>
      </c>
      <c r="IS26" s="913">
        <f t="shared" si="106"/>
        <v>96764.092642846095</v>
      </c>
      <c r="IT26" s="915">
        <f t="shared" si="88"/>
        <v>575228.87590340036</v>
      </c>
      <c r="IU26" s="918">
        <f t="shared" si="89"/>
        <v>16.821842</v>
      </c>
      <c r="IV26" s="904">
        <f t="shared" si="120"/>
        <v>84614.138864662236</v>
      </c>
      <c r="IW26" s="904">
        <f t="shared" si="91"/>
        <v>490614.73703873809</v>
      </c>
      <c r="IX26" s="913">
        <f t="shared" si="121"/>
        <v>1269.2120829699336</v>
      </c>
      <c r="IY26" s="881">
        <f t="shared" si="93"/>
        <v>95494.880559876168</v>
      </c>
      <c r="IZ26" s="928">
        <f t="shared" si="122"/>
        <v>16.601197290365665</v>
      </c>
      <c r="JA26" s="928">
        <f t="shared" si="123"/>
        <v>18.101197290365665</v>
      </c>
      <c r="JB26" s="913">
        <f t="shared" si="107"/>
        <v>96764.09264284611</v>
      </c>
      <c r="JC26" s="852">
        <v>0.2222328177184707</v>
      </c>
      <c r="JG26" s="730">
        <v>23</v>
      </c>
      <c r="JH26" s="867">
        <v>23</v>
      </c>
      <c r="JI26" s="732" t="s">
        <v>430</v>
      </c>
      <c r="JJ26" s="784">
        <f t="shared" si="96"/>
        <v>575228.87590340036</v>
      </c>
      <c r="JK26" s="917">
        <f t="shared" si="97"/>
        <v>16.601197290365665</v>
      </c>
      <c r="JL26" s="868">
        <v>19.138999999999999</v>
      </c>
      <c r="JM26" s="765"/>
      <c r="JN26" s="868"/>
      <c r="JO26" s="766">
        <v>25</v>
      </c>
      <c r="JT26" s="936">
        <v>0</v>
      </c>
      <c r="JU26" s="936">
        <f t="shared" si="64"/>
        <v>0</v>
      </c>
      <c r="JV26" s="13">
        <v>0</v>
      </c>
      <c r="JW26" s="13">
        <f t="shared" si="65"/>
        <v>0</v>
      </c>
    </row>
    <row r="27" spans="3:294" ht="17.25" thickBot="1" x14ac:dyDescent="0.35">
      <c r="J27" s="456">
        <v>24</v>
      </c>
      <c r="K27" s="760">
        <v>24</v>
      </c>
      <c r="L27" s="565" t="s">
        <v>431</v>
      </c>
      <c r="M27" s="905"/>
      <c r="N27" s="945">
        <f t="shared" si="66"/>
        <v>0</v>
      </c>
      <c r="O27" s="754">
        <v>576</v>
      </c>
      <c r="P27" s="949">
        <f t="shared" si="67"/>
        <v>0</v>
      </c>
      <c r="Q27" s="697">
        <f t="shared" si="68"/>
        <v>0</v>
      </c>
      <c r="R27" s="553" t="s">
        <v>402</v>
      </c>
      <c r="V27" s="736">
        <f t="shared" si="98"/>
        <v>24</v>
      </c>
      <c r="W27" s="737">
        <f t="shared" si="0"/>
        <v>24</v>
      </c>
      <c r="X27" s="565" t="s">
        <v>431</v>
      </c>
      <c r="Y27" s="924">
        <f t="shared" si="69"/>
        <v>0</v>
      </c>
      <c r="Z27" s="945">
        <f t="shared" si="70"/>
        <v>0</v>
      </c>
      <c r="AD27" s="749">
        <v>24</v>
      </c>
      <c r="AE27" s="750">
        <v>24</v>
      </c>
      <c r="AF27" s="751" t="s">
        <v>431</v>
      </c>
      <c r="AG27" s="752">
        <v>5.4</v>
      </c>
      <c r="AQ27" s="736">
        <f t="shared" si="71"/>
        <v>24</v>
      </c>
      <c r="AR27" s="791">
        <f t="shared" si="1"/>
        <v>24</v>
      </c>
      <c r="AS27" s="565" t="s">
        <v>431</v>
      </c>
      <c r="AT27" s="565">
        <f t="shared" si="2"/>
        <v>5.4</v>
      </c>
      <c r="AU27" s="792">
        <f t="shared" si="72"/>
        <v>0</v>
      </c>
      <c r="AV27" s="792">
        <f t="shared" si="99"/>
        <v>0</v>
      </c>
      <c r="AW27" s="793">
        <f t="shared" si="3"/>
        <v>0</v>
      </c>
      <c r="AX27" s="794">
        <f t="shared" si="4"/>
        <v>18.222331461311715</v>
      </c>
      <c r="AY27" s="571">
        <f t="shared" si="108"/>
        <v>0</v>
      </c>
      <c r="AZ27" s="56">
        <f t="shared" si="73"/>
        <v>0</v>
      </c>
      <c r="BA27" s="68">
        <f t="shared" si="5"/>
        <v>0</v>
      </c>
      <c r="BE27" s="1"/>
      <c r="BF27" s="1"/>
      <c r="BG27" s="1"/>
      <c r="BH27" s="1"/>
      <c r="BL27" s="456">
        <f t="shared" si="100"/>
        <v>24</v>
      </c>
      <c r="BM27" s="553">
        <f t="shared" si="6"/>
        <v>24</v>
      </c>
      <c r="BN27" s="565" t="s">
        <v>431</v>
      </c>
      <c r="BO27" s="697">
        <f t="shared" si="7"/>
        <v>0</v>
      </c>
      <c r="BP27" s="571">
        <f t="shared" si="74"/>
        <v>0</v>
      </c>
      <c r="BQ27" s="697">
        <f t="shared" si="8"/>
        <v>0</v>
      </c>
      <c r="BR27" s="571">
        <f t="shared" si="75"/>
        <v>0</v>
      </c>
      <c r="BS27" s="811">
        <f t="shared" si="9"/>
        <v>0</v>
      </c>
      <c r="BT27" s="812">
        <f>IF($AU27=0,0,ROUND(IF(VLOOKUP(BM27,$AR$4:$AU$27,$BA$30,FALSE)&lt;&gt;0,BS27/VLOOKUP(BM27,$AR$4:$AU$27,$BA$30,FALSE)*100,""),6))</f>
        <v>0</v>
      </c>
      <c r="BW27" s="1"/>
      <c r="BX27" s="10"/>
      <c r="BY27" s="10"/>
      <c r="BZ27" s="10"/>
      <c r="CA27" s="10"/>
      <c r="CB27" s="10"/>
      <c r="CC27" s="10"/>
      <c r="CD27" s="10"/>
      <c r="CE27" s="10"/>
      <c r="CI27" s="736">
        <f t="shared" si="101"/>
        <v>24</v>
      </c>
      <c r="CJ27" s="829">
        <f t="shared" si="12"/>
        <v>24</v>
      </c>
      <c r="CK27" s="565" t="s">
        <v>431</v>
      </c>
      <c r="CL27" s="556">
        <f t="shared" si="13"/>
        <v>0</v>
      </c>
      <c r="CM27" s="458">
        <f t="shared" si="14"/>
        <v>0</v>
      </c>
      <c r="CN27" s="556">
        <f t="shared" si="15"/>
        <v>0</v>
      </c>
      <c r="CO27" s="458">
        <f t="shared" si="16"/>
        <v>0</v>
      </c>
      <c r="CP27" s="458">
        <f t="shared" si="17"/>
        <v>0</v>
      </c>
      <c r="CQ27" s="556">
        <f t="shared" si="18"/>
        <v>0</v>
      </c>
      <c r="CR27" s="555">
        <f t="shared" si="19"/>
        <v>0</v>
      </c>
      <c r="DE27" s="1"/>
      <c r="DH27" s="736">
        <v>24</v>
      </c>
      <c r="DI27" s="841">
        <f t="shared" si="20"/>
        <v>24</v>
      </c>
      <c r="DJ27" s="565" t="s">
        <v>431</v>
      </c>
      <c r="DK27" s="556">
        <f t="shared" si="21"/>
        <v>0</v>
      </c>
      <c r="DL27" s="458">
        <f t="shared" si="77"/>
        <v>0</v>
      </c>
      <c r="DM27" s="556">
        <f t="shared" si="22"/>
        <v>0</v>
      </c>
      <c r="DN27" s="458">
        <f t="shared" si="23"/>
        <v>0</v>
      </c>
      <c r="DO27" s="556">
        <f t="shared" si="24"/>
        <v>0</v>
      </c>
      <c r="DP27" s="458">
        <f t="shared" si="25"/>
        <v>0</v>
      </c>
      <c r="DQ27" s="458">
        <f t="shared" si="78"/>
        <v>0</v>
      </c>
      <c r="DR27" s="556">
        <f t="shared" si="26"/>
        <v>0</v>
      </c>
      <c r="DS27" s="555">
        <f t="shared" si="27"/>
        <v>0</v>
      </c>
      <c r="DW27" s="736">
        <f t="shared" si="102"/>
        <v>24</v>
      </c>
      <c r="DX27" s="841">
        <f t="shared" si="28"/>
        <v>24</v>
      </c>
      <c r="DY27" s="565" t="s">
        <v>431</v>
      </c>
      <c r="DZ27" s="556">
        <f t="shared" si="29"/>
        <v>0</v>
      </c>
      <c r="EA27" s="458">
        <f t="shared" si="30"/>
        <v>0</v>
      </c>
      <c r="EB27" s="555">
        <f t="shared" si="31"/>
        <v>0</v>
      </c>
      <c r="EN27" s="736">
        <f t="shared" si="103"/>
        <v>24</v>
      </c>
      <c r="EO27" s="841">
        <f t="shared" si="32"/>
        <v>24</v>
      </c>
      <c r="EP27" s="565" t="s">
        <v>431</v>
      </c>
      <c r="EQ27" s="556">
        <f t="shared" si="33"/>
        <v>0</v>
      </c>
      <c r="ER27" s="458">
        <f t="shared" si="34"/>
        <v>0</v>
      </c>
      <c r="ES27" s="556">
        <f t="shared" si="35"/>
        <v>0</v>
      </c>
      <c r="ET27" s="458">
        <f t="shared" si="36"/>
        <v>0</v>
      </c>
      <c r="EU27" s="556">
        <f t="shared" si="37"/>
        <v>0</v>
      </c>
      <c r="EV27" s="458">
        <f t="shared" si="38"/>
        <v>0</v>
      </c>
      <c r="EW27" s="458">
        <f t="shared" si="39"/>
        <v>0</v>
      </c>
      <c r="EX27" s="556">
        <f t="shared" si="40"/>
        <v>0</v>
      </c>
      <c r="EY27" s="555">
        <f t="shared" si="41"/>
        <v>0</v>
      </c>
      <c r="FI27" s="736">
        <f t="shared" si="104"/>
        <v>24</v>
      </c>
      <c r="FJ27" s="737">
        <f t="shared" si="42"/>
        <v>24</v>
      </c>
      <c r="FK27" s="565" t="s">
        <v>431</v>
      </c>
      <c r="FL27" s="556">
        <f t="shared" si="43"/>
        <v>0</v>
      </c>
      <c r="FM27" s="458">
        <f t="shared" si="44"/>
        <v>0</v>
      </c>
      <c r="FN27" s="555">
        <f t="shared" si="45"/>
        <v>0</v>
      </c>
      <c r="FR27" s="736">
        <f t="shared" si="105"/>
        <v>24</v>
      </c>
      <c r="FS27" s="737">
        <v>24</v>
      </c>
      <c r="FT27" s="565" t="s">
        <v>431</v>
      </c>
      <c r="FU27" s="458">
        <f t="shared" si="46"/>
        <v>0</v>
      </c>
      <c r="FV27" s="458">
        <f t="shared" si="47"/>
        <v>0</v>
      </c>
      <c r="FW27" s="458">
        <f t="shared" si="48"/>
        <v>0</v>
      </c>
      <c r="FX27" s="458">
        <f t="shared" si="49"/>
        <v>0</v>
      </c>
      <c r="FY27" s="458">
        <f t="shared" si="50"/>
        <v>0</v>
      </c>
      <c r="FZ27" s="458">
        <f t="shared" si="51"/>
        <v>0</v>
      </c>
      <c r="GA27" s="458">
        <f t="shared" si="52"/>
        <v>0</v>
      </c>
      <c r="GB27" s="458">
        <f t="shared" si="119"/>
        <v>0</v>
      </c>
      <c r="GC27" s="853">
        <f t="shared" si="54"/>
        <v>0</v>
      </c>
      <c r="GG27" s="736">
        <f t="shared" si="79"/>
        <v>24</v>
      </c>
      <c r="GH27" s="737">
        <f t="shared" si="55"/>
        <v>24</v>
      </c>
      <c r="GI27" s="565" t="s">
        <v>431</v>
      </c>
      <c r="GJ27" s="555">
        <f t="shared" si="56"/>
        <v>0</v>
      </c>
      <c r="GK27" s="555">
        <f t="shared" si="57"/>
        <v>0</v>
      </c>
      <c r="GL27" s="555">
        <f t="shared" si="58"/>
        <v>0</v>
      </c>
      <c r="GM27" s="555">
        <f t="shared" si="59"/>
        <v>0</v>
      </c>
      <c r="GN27" s="555">
        <f t="shared" si="60"/>
        <v>0</v>
      </c>
      <c r="GO27" s="555">
        <f t="shared" si="61"/>
        <v>0</v>
      </c>
      <c r="GP27" s="555">
        <f t="shared" si="62"/>
        <v>0</v>
      </c>
      <c r="GQ27" s="555">
        <f t="shared" si="63"/>
        <v>0</v>
      </c>
      <c r="GR27" s="792">
        <f t="shared" si="80"/>
        <v>0</v>
      </c>
      <c r="GS27" s="716"/>
      <c r="GV27" s="719">
        <f t="shared" si="81"/>
        <v>24</v>
      </c>
      <c r="GW27" s="737">
        <v>24</v>
      </c>
      <c r="GX27" s="565" t="s">
        <v>431</v>
      </c>
      <c r="GY27" s="553" t="s">
        <v>402</v>
      </c>
      <c r="GZ27" s="925">
        <f t="shared" si="82"/>
        <v>0</v>
      </c>
      <c r="HA27" s="792">
        <f t="shared" si="83"/>
        <v>0</v>
      </c>
      <c r="HB27" s="922">
        <f t="shared" si="109"/>
        <v>0</v>
      </c>
      <c r="HC27" s="942">
        <f t="shared" si="85"/>
        <v>0</v>
      </c>
      <c r="HD27" s="859">
        <v>1.3251176715129986E-3</v>
      </c>
      <c r="HE27" s="54"/>
      <c r="HH27" s="54"/>
      <c r="HI27" s="54"/>
      <c r="HJ27" s="54"/>
      <c r="HK27" s="54"/>
      <c r="HL27" s="54"/>
      <c r="HM27" s="54"/>
      <c r="HN27" s="54"/>
      <c r="HQ27" s="734">
        <v>24</v>
      </c>
      <c r="HR27" s="869">
        <v>24</v>
      </c>
      <c r="HS27" s="518" t="s">
        <v>431</v>
      </c>
      <c r="HT27" s="792">
        <f t="shared" si="86"/>
        <v>0</v>
      </c>
      <c r="HU27" s="917">
        <f t="shared" si="87"/>
        <v>0</v>
      </c>
      <c r="HV27" s="870"/>
      <c r="HW27" s="768"/>
      <c r="HX27" s="870">
        <v>-1.5297739999999997</v>
      </c>
      <c r="HY27" s="769">
        <v>10</v>
      </c>
      <c r="IP27" s="736">
        <v>24</v>
      </c>
      <c r="IQ27" s="884">
        <v>24</v>
      </c>
      <c r="IR27" s="565" t="s">
        <v>431</v>
      </c>
      <c r="IS27" s="914">
        <f t="shared" si="106"/>
        <v>0</v>
      </c>
      <c r="IT27" s="916">
        <f t="shared" si="88"/>
        <v>0</v>
      </c>
      <c r="IU27" s="920">
        <f t="shared" si="89"/>
        <v>0</v>
      </c>
      <c r="IV27" s="905">
        <v>0</v>
      </c>
      <c r="IW27" s="905">
        <f t="shared" si="91"/>
        <v>0</v>
      </c>
      <c r="IX27" s="914">
        <v>0</v>
      </c>
      <c r="IY27" s="885">
        <f t="shared" si="93"/>
        <v>0</v>
      </c>
      <c r="IZ27" s="928">
        <f>IU27</f>
        <v>0</v>
      </c>
      <c r="JA27" s="929">
        <f>IZ27</f>
        <v>0</v>
      </c>
      <c r="JB27" s="914">
        <f t="shared" si="107"/>
        <v>0</v>
      </c>
      <c r="JC27" s="886">
        <v>0</v>
      </c>
      <c r="JG27" s="734">
        <v>24</v>
      </c>
      <c r="JH27" s="869">
        <v>24</v>
      </c>
      <c r="JI27" s="518" t="s">
        <v>431</v>
      </c>
      <c r="JJ27" s="792">
        <f t="shared" si="96"/>
        <v>0</v>
      </c>
      <c r="JK27" s="917">
        <f t="shared" si="97"/>
        <v>0</v>
      </c>
      <c r="JL27" s="870">
        <v>10.321</v>
      </c>
      <c r="JM27" s="768"/>
      <c r="JN27" s="870"/>
      <c r="JO27" s="769">
        <v>10</v>
      </c>
      <c r="JT27" s="937">
        <v>4.9211555552511586</v>
      </c>
      <c r="JU27" s="937">
        <f t="shared" si="64"/>
        <v>1.3636580243255203E-2</v>
      </c>
      <c r="JV27" s="938">
        <f>SUM(JV3:JV26)</f>
        <v>2202811268</v>
      </c>
      <c r="JW27" s="938">
        <f t="shared" si="65"/>
        <v>-12513878.230515003</v>
      </c>
    </row>
    <row r="28" spans="3:294" ht="17.25" thickBot="1" x14ac:dyDescent="0.35">
      <c r="G28" s="1"/>
      <c r="I28" s="1"/>
      <c r="J28" s="738">
        <v>25</v>
      </c>
      <c r="K28" s="761"/>
      <c r="L28" s="762" t="s">
        <v>72</v>
      </c>
      <c r="M28" s="755">
        <f>SUM(M4:M27)</f>
        <v>2190297389.769485</v>
      </c>
      <c r="N28" s="742">
        <v>0.99999999999999967</v>
      </c>
      <c r="O28" s="755">
        <v>18014.483727240997</v>
      </c>
      <c r="P28" s="755">
        <f>SUM(P4:P27)</f>
        <v>1749205.3076235536</v>
      </c>
      <c r="Q28" s="742">
        <f>SUM(Q4:Q27)</f>
        <v>1</v>
      </c>
      <c r="R28" s="763"/>
      <c r="S28" s="1"/>
      <c r="U28" s="1"/>
      <c r="V28" s="738">
        <f>+V27+1</f>
        <v>25</v>
      </c>
      <c r="W28" s="739"/>
      <c r="X28" s="740" t="s">
        <v>72</v>
      </c>
      <c r="Y28" s="939">
        <f>SUM(Y4:Y27)</f>
        <v>83411141.991866753</v>
      </c>
      <c r="Z28" s="742">
        <v>0.99999999999999967</v>
      </c>
      <c r="AA28" s="1"/>
      <c r="AC28" s="1"/>
      <c r="AD28" s="720"/>
      <c r="AH28" s="1"/>
      <c r="AJ28" s="1"/>
      <c r="AK28" s="1"/>
      <c r="AL28" s="1"/>
      <c r="AM28" s="1"/>
      <c r="AQ28" s="738">
        <f>+AQ27+1</f>
        <v>25</v>
      </c>
      <c r="AR28" s="795"/>
      <c r="AS28" s="796" t="s">
        <v>72</v>
      </c>
      <c r="AT28" s="797">
        <f>AM7</f>
        <v>3.1019864894695965</v>
      </c>
      <c r="AU28" s="755">
        <f>SUM(AU4:AU27)</f>
        <v>2190297389.769485</v>
      </c>
      <c r="AV28" s="755">
        <f>SUM(AV4:AV27)</f>
        <v>1887938.94670184</v>
      </c>
      <c r="AW28" s="755">
        <f>SUM(AW4:AW27)</f>
        <v>1968927.1041759741</v>
      </c>
      <c r="AX28" s="798">
        <f>SUMPRODUCT(AX4:AX27,AU4:AU27)/AU28</f>
        <v>18.222331461311718</v>
      </c>
      <c r="AY28" s="799">
        <f>SUM(AY4:AY27)</f>
        <v>35878442.315455221</v>
      </c>
      <c r="AZ28" s="73">
        <f t="shared" si="73"/>
        <v>1</v>
      </c>
      <c r="BA28" s="74">
        <f>AY28*100/$M$28</f>
        <v>1.6380625974827647</v>
      </c>
      <c r="BB28" s="1"/>
      <c r="BD28" s="1"/>
      <c r="BE28" s="49"/>
      <c r="BF28" s="49"/>
      <c r="BG28" s="49"/>
      <c r="BH28" s="49"/>
      <c r="BI28" s="1"/>
      <c r="BK28" s="1"/>
      <c r="BL28" s="813">
        <f>+BL27+1</f>
        <v>25</v>
      </c>
      <c r="BM28" s="814"/>
      <c r="BN28" s="815" t="s">
        <v>72</v>
      </c>
      <c r="BO28" s="816">
        <f>SUM(BO4:BO27)</f>
        <v>0.99999999999999989</v>
      </c>
      <c r="BP28" s="817">
        <f>BH4</f>
        <v>7855598.930964387</v>
      </c>
      <c r="BQ28" s="818">
        <f>SUM(BQ4:BQ27)</f>
        <v>1.0000000000000002</v>
      </c>
      <c r="BR28" s="817">
        <f>BH5</f>
        <v>7855598.930964387</v>
      </c>
      <c r="BS28" s="819">
        <f>D6</f>
        <v>15711197.861928774</v>
      </c>
      <c r="BT28" s="820">
        <f>BS28*100/$M$28</f>
        <v>0.71730888852414132</v>
      </c>
      <c r="BU28" s="1"/>
      <c r="BW28" s="1"/>
      <c r="BX28" s="10"/>
      <c r="BY28" s="10"/>
      <c r="BZ28" s="10"/>
      <c r="CA28" s="10"/>
      <c r="CB28" s="10"/>
      <c r="CC28" s="10"/>
      <c r="CD28" s="10"/>
      <c r="CE28" s="10"/>
      <c r="CF28" s="1"/>
      <c r="CI28" s="738">
        <f>CI27+1</f>
        <v>25</v>
      </c>
      <c r="CJ28" s="739"/>
      <c r="CK28" s="762" t="s">
        <v>72</v>
      </c>
      <c r="CL28" s="830">
        <f>SUM(CL4:CL27)</f>
        <v>1.0000000000000002</v>
      </c>
      <c r="CM28" s="817">
        <f>CD9</f>
        <v>5354240.1246443363</v>
      </c>
      <c r="CN28" s="830">
        <f>SUM(CN4:CN27)</f>
        <v>1</v>
      </c>
      <c r="CO28" s="817">
        <f>CE9</f>
        <v>17401127.935035147</v>
      </c>
      <c r="CP28" s="817">
        <f>SUM(CP4:CP27)</f>
        <v>22755368.059679482</v>
      </c>
      <c r="CQ28" s="830">
        <f>SUM(CQ4:CQ27)</f>
        <v>1</v>
      </c>
      <c r="CR28" s="820">
        <f>CP28*100/$M$28</f>
        <v>1.0389168231659329</v>
      </c>
      <c r="CU28" s="1"/>
      <c r="DE28" s="1"/>
      <c r="DG28" s="78"/>
      <c r="DH28" s="738">
        <v>25</v>
      </c>
      <c r="DI28" s="71"/>
      <c r="DJ28" s="72" t="s">
        <v>72</v>
      </c>
      <c r="DK28" s="77">
        <f>SUM(DK4:DK27)</f>
        <v>1</v>
      </c>
      <c r="DL28" s="60">
        <f>DA7</f>
        <v>313956.26463611663</v>
      </c>
      <c r="DM28" s="77">
        <f>SUM(DM4:DM27)</f>
        <v>1</v>
      </c>
      <c r="DN28" s="60">
        <f>DB7</f>
        <v>1943000.592168268</v>
      </c>
      <c r="DO28" s="77">
        <f>SUM(DO4:DO27)</f>
        <v>1.0000000000000002</v>
      </c>
      <c r="DP28" s="60">
        <f>DC7</f>
        <v>3235003.1599669741</v>
      </c>
      <c r="DQ28" s="60">
        <f>SUM(DQ4:DQ27)</f>
        <v>5491960.0167713594</v>
      </c>
      <c r="DR28" s="77">
        <f>SUM(DR4:DR27)</f>
        <v>1.0000000000000002</v>
      </c>
      <c r="DS28" s="76">
        <f>DQ28*100/$M$28</f>
        <v>0.25074038084615319</v>
      </c>
      <c r="DT28" s="49"/>
      <c r="DV28" s="49"/>
      <c r="DW28" s="738">
        <f>DW27+1</f>
        <v>25</v>
      </c>
      <c r="DX28" s="71"/>
      <c r="DY28" s="72" t="s">
        <v>72</v>
      </c>
      <c r="DZ28" s="77">
        <f>SUM(DZ4:DZ27)</f>
        <v>1</v>
      </c>
      <c r="EA28" s="60">
        <f>D9</f>
        <v>3574173.7380319173</v>
      </c>
      <c r="EB28" s="76">
        <f>EA28*100/$M$28</f>
        <v>0.16318212105471561</v>
      </c>
      <c r="EC28" s="49"/>
      <c r="EE28" s="1"/>
      <c r="EK28" s="1"/>
      <c r="EM28" s="1"/>
      <c r="EN28" s="738">
        <f>+EN27+1</f>
        <v>25</v>
      </c>
      <c r="EO28" s="71"/>
      <c r="EP28" s="72" t="s">
        <v>72</v>
      </c>
      <c r="EQ28" s="77">
        <f>SUM(EQ4:EQ27)</f>
        <v>0.99999999999999967</v>
      </c>
      <c r="ER28" s="60">
        <f>EJ4</f>
        <v>7112966.3600382879</v>
      </c>
      <c r="ES28" s="77">
        <f>SUM(ES4:ES27)</f>
        <v>1</v>
      </c>
      <c r="ET28" s="60">
        <f>EJ5</f>
        <v>959024.21125461778</v>
      </c>
      <c r="EU28" s="77">
        <f>SUM(EU4:EU27)</f>
        <v>1.0000000000000002</v>
      </c>
      <c r="EV28" s="60">
        <f>EJ6</f>
        <v>2569381.9461431084</v>
      </c>
      <c r="EW28" s="60">
        <f>SUM(EW4:EW27)</f>
        <v>10641372.517436013</v>
      </c>
      <c r="EX28" s="77">
        <f>SUM(EX4:EX27)</f>
        <v>1</v>
      </c>
      <c r="EY28" s="76">
        <f>EW28*100/$M$28</f>
        <v>0.48584144633236087</v>
      </c>
      <c r="EZ28" s="1"/>
      <c r="FB28" s="1"/>
      <c r="FF28" s="1"/>
      <c r="FH28" s="49"/>
      <c r="FI28" s="738">
        <f>+FI27+1</f>
        <v>25</v>
      </c>
      <c r="FJ28" s="79"/>
      <c r="FK28" s="58" t="s">
        <v>72</v>
      </c>
      <c r="FL28" s="77">
        <f t="shared" si="43"/>
        <v>0.99999999999999967</v>
      </c>
      <c r="FM28" s="60">
        <f>FE6</f>
        <v>18793628.556230251</v>
      </c>
      <c r="FN28" s="76">
        <f>FM28*100/$M$28</f>
        <v>0.85804003803374673</v>
      </c>
      <c r="FO28" s="1"/>
      <c r="FR28" s="738">
        <f>+FR27+1</f>
        <v>25</v>
      </c>
      <c r="FS28" s="80"/>
      <c r="FT28" s="75" t="s">
        <v>72</v>
      </c>
      <c r="FU28" s="817">
        <f t="shared" ref="FU28:GA28" si="124">SUM(FU4:FU27)</f>
        <v>35878442.315455221</v>
      </c>
      <c r="FV28" s="817">
        <f t="shared" si="124"/>
        <v>15711197.861928774</v>
      </c>
      <c r="FW28" s="817">
        <f t="shared" si="124"/>
        <v>22755368.059679482</v>
      </c>
      <c r="FX28" s="817">
        <f t="shared" si="124"/>
        <v>5491960.0167713594</v>
      </c>
      <c r="FY28" s="817">
        <f t="shared" si="124"/>
        <v>3574173.7380319163</v>
      </c>
      <c r="FZ28" s="817">
        <f t="shared" si="124"/>
        <v>10641372.517436013</v>
      </c>
      <c r="GA28" s="817">
        <f t="shared" si="124"/>
        <v>18793628.556230251</v>
      </c>
      <c r="GB28" s="817">
        <f>SUM(FU28:GA28)</f>
        <v>112846143.06553303</v>
      </c>
      <c r="GC28" s="854">
        <v>5.1731248696411978</v>
      </c>
      <c r="GD28" s="1"/>
      <c r="GG28" s="738">
        <v>25</v>
      </c>
      <c r="GH28" s="855"/>
      <c r="GI28" s="762" t="s">
        <v>72</v>
      </c>
      <c r="GJ28" s="820">
        <f t="shared" ref="GJ28:GQ28" si="125">FU28*100/$GR$28</f>
        <v>1.6380625974827647</v>
      </c>
      <c r="GK28" s="820">
        <f t="shared" si="125"/>
        <v>0.71730888852414132</v>
      </c>
      <c r="GL28" s="820">
        <f t="shared" si="125"/>
        <v>1.0389168231659329</v>
      </c>
      <c r="GM28" s="820">
        <f t="shared" si="125"/>
        <v>0.25074038084615319</v>
      </c>
      <c r="GN28" s="820">
        <f t="shared" si="125"/>
        <v>0.16318212105471558</v>
      </c>
      <c r="GO28" s="820">
        <f t="shared" si="125"/>
        <v>0.48584144633236087</v>
      </c>
      <c r="GP28" s="820">
        <f t="shared" si="125"/>
        <v>0.85804003803374673</v>
      </c>
      <c r="GQ28" s="854">
        <f t="shared" si="125"/>
        <v>5.1520922954398154</v>
      </c>
      <c r="GR28" s="755">
        <f>SUM(GR4:GR27)</f>
        <v>2190297389.769485</v>
      </c>
      <c r="GS28" s="716"/>
      <c r="GV28" s="721">
        <v>25</v>
      </c>
      <c r="GW28" s="80"/>
      <c r="GX28" s="75" t="s">
        <v>72</v>
      </c>
      <c r="GY28" s="70"/>
      <c r="GZ28" s="60">
        <f>SUM(GZ4:GZ27)</f>
        <v>112846143.06553301</v>
      </c>
      <c r="HA28" s="81">
        <f>SUM(HA4:HA27)</f>
        <v>2190297389.769485</v>
      </c>
      <c r="HB28" s="923">
        <f>IF(HA28&lt;&gt;0,GZ28/HA28*100,0)</f>
        <v>5.1520922954398145</v>
      </c>
      <c r="HC28" s="60">
        <f>SUM(HC4:HC27)</f>
        <v>112846140.7665498</v>
      </c>
      <c r="HD28" s="62">
        <f>SUM(HD4:HD27)</f>
        <v>-2.9150733718854553</v>
      </c>
      <c r="HE28" s="82"/>
      <c r="HH28" s="82"/>
      <c r="HI28" s="82"/>
      <c r="HJ28" s="82"/>
      <c r="HK28" s="82"/>
      <c r="HL28" s="82"/>
      <c r="HM28" s="82"/>
      <c r="HN28" s="82"/>
      <c r="HQ28" s="738">
        <v>25</v>
      </c>
      <c r="HR28" s="871" t="s">
        <v>72</v>
      </c>
      <c r="HS28" s="762"/>
      <c r="HT28" s="872">
        <v>2172816411.6368828</v>
      </c>
      <c r="HU28" s="921">
        <f>SUMPRODUCT(HT4:HT27,HU4:HU27)/SUM(HT4:HT27)</f>
        <v>5.1520921904776671</v>
      </c>
      <c r="HV28" s="873"/>
      <c r="HW28" s="874"/>
      <c r="HX28" s="873">
        <v>-1.1081743881537101</v>
      </c>
      <c r="HY28" s="875"/>
      <c r="HZ28" s="1"/>
      <c r="IB28" s="1"/>
      <c r="IM28" s="1"/>
      <c r="IO28" s="1"/>
      <c r="IP28" s="887">
        <v>25</v>
      </c>
      <c r="IQ28" s="871" t="s">
        <v>72</v>
      </c>
      <c r="IR28" s="762"/>
      <c r="IS28" s="888">
        <f>SUM(IS4:IS27)</f>
        <v>112846140.7665498</v>
      </c>
      <c r="IT28" s="872">
        <f>M28</f>
        <v>2190297389.769485</v>
      </c>
      <c r="IU28" s="889">
        <f t="shared" si="89"/>
        <v>5.1520922954398145</v>
      </c>
      <c r="IV28" s="912">
        <f>SUM(IV4:IV27)</f>
        <v>317301162.15105307</v>
      </c>
      <c r="IW28" s="912">
        <f>IT28-IV28</f>
        <v>1872996227.618432</v>
      </c>
      <c r="IX28" s="888">
        <f>SUM(IX4:IX27)</f>
        <v>4759517.4322657948</v>
      </c>
      <c r="IY28" s="888">
        <f>SUM(IY4:IY27)</f>
        <v>108086623.33428398</v>
      </c>
      <c r="IZ28" s="854">
        <f>IY28/IT28*100</f>
        <v>4.9347921354944138</v>
      </c>
      <c r="JA28" s="931">
        <f>SUMPRODUCT(IV4:IV27,JA4:JA27)/SUM(IV4:IV27)</f>
        <v>6.4101789742399307</v>
      </c>
      <c r="JB28" s="888">
        <v>112402506.296179</v>
      </c>
      <c r="JC28" s="890"/>
      <c r="JG28" s="738">
        <v>25</v>
      </c>
      <c r="JH28" s="871" t="s">
        <v>72</v>
      </c>
      <c r="JI28" s="762"/>
      <c r="JJ28" s="872">
        <f>M28</f>
        <v>2190297389.769485</v>
      </c>
      <c r="JK28" s="917">
        <f t="shared" si="97"/>
        <v>4.9347921354944138</v>
      </c>
      <c r="JL28" s="873">
        <v>6.0600640732101736</v>
      </c>
      <c r="JM28" s="874">
        <v>-0.18249978315112181</v>
      </c>
      <c r="JN28" s="873">
        <v>-1.1059603792427604</v>
      </c>
      <c r="JO28" s="875"/>
      <c r="JP28" s="25"/>
      <c r="JS28" s="1"/>
      <c r="KG28" s="1"/>
      <c r="KH28" s="69"/>
    </row>
    <row r="29" spans="3:294" x14ac:dyDescent="0.3">
      <c r="G29" s="49"/>
      <c r="I29" s="49"/>
      <c r="M29" s="14"/>
      <c r="O29" s="14"/>
      <c r="P29" s="14"/>
      <c r="S29" s="49"/>
      <c r="U29" s="49"/>
      <c r="V29" s="743"/>
      <c r="W29" s="744"/>
      <c r="X29" s="744"/>
      <c r="Y29" s="946">
        <f>Y28-SUM(D4:D9)</f>
        <v>0</v>
      </c>
      <c r="Z29" s="745"/>
      <c r="AA29" s="49"/>
      <c r="AC29" s="49"/>
      <c r="AH29" s="49"/>
      <c r="AJ29" s="49"/>
      <c r="AK29" s="49"/>
      <c r="AL29" s="49"/>
      <c r="AM29" s="49"/>
      <c r="AQ29" s="800"/>
      <c r="AR29" s="800"/>
      <c r="AS29" s="744"/>
      <c r="AT29" s="744"/>
      <c r="AU29" s="744"/>
      <c r="AV29" s="744"/>
      <c r="AW29" s="801"/>
      <c r="AX29" s="744"/>
      <c r="AY29" s="744"/>
      <c r="AZ29" s="49"/>
      <c r="BA29" s="49"/>
      <c r="BB29" s="49"/>
      <c r="BD29" s="49"/>
      <c r="BE29" s="49"/>
      <c r="BF29" s="49"/>
      <c r="BG29" s="49"/>
      <c r="BH29" s="49"/>
      <c r="BI29" s="49"/>
      <c r="BK29" s="49"/>
      <c r="BU29" s="49"/>
      <c r="BW29" s="42"/>
      <c r="BX29" s="10"/>
      <c r="BY29" s="10"/>
      <c r="BZ29" s="10"/>
      <c r="CA29" s="10"/>
      <c r="CB29" s="10"/>
      <c r="CC29" s="10"/>
      <c r="CD29" s="10"/>
      <c r="CE29" s="10"/>
      <c r="CF29" s="49"/>
      <c r="CH29" s="1"/>
      <c r="CI29" s="25"/>
      <c r="CM29" s="4"/>
      <c r="CO29" s="4"/>
      <c r="CP29" s="4"/>
      <c r="CS29" s="1"/>
      <c r="CU29" s="49"/>
      <c r="DE29" s="42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V29" s="49"/>
      <c r="DW29" s="78"/>
      <c r="DX29" s="49"/>
      <c r="DY29" s="49"/>
      <c r="DZ29" s="49"/>
      <c r="EA29" s="49"/>
      <c r="EB29" s="49"/>
      <c r="EC29" s="49"/>
      <c r="EE29" s="49"/>
      <c r="EK29" s="49"/>
      <c r="EM29" s="49"/>
      <c r="EN29" s="49"/>
      <c r="EO29" s="49"/>
      <c r="EP29" s="49"/>
      <c r="EQ29" s="49"/>
      <c r="ER29" s="49"/>
      <c r="ES29" s="49"/>
      <c r="ET29" s="49"/>
      <c r="EU29" s="49"/>
      <c r="EV29" s="83"/>
      <c r="EW29" s="49"/>
      <c r="EX29" s="49"/>
      <c r="EY29" s="49"/>
      <c r="EZ29" s="49"/>
      <c r="FB29" s="49"/>
      <c r="FF29" s="49"/>
      <c r="FH29" s="49"/>
      <c r="FI29" s="49"/>
      <c r="FJ29" s="49"/>
      <c r="FK29" s="49"/>
      <c r="FL29" s="49"/>
      <c r="FM29" s="49"/>
      <c r="FN29" s="49"/>
      <c r="FO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716"/>
      <c r="HC29" s="941">
        <f>HC28-D13</f>
        <v>1000.4180070757866</v>
      </c>
      <c r="HE29" s="11"/>
      <c r="HH29" s="54"/>
      <c r="HI29" s="54"/>
      <c r="HJ29" s="54"/>
      <c r="HK29" s="54"/>
      <c r="HL29" s="54"/>
      <c r="HM29" s="11"/>
      <c r="HN29" s="11"/>
      <c r="HZ29" s="49"/>
      <c r="IB29" s="49"/>
      <c r="IP29" s="78"/>
      <c r="IQ29" s="49"/>
      <c r="IS29" s="11"/>
      <c r="IV29" s="930"/>
      <c r="IW29" s="930"/>
      <c r="JB29" s="11"/>
    </row>
    <row r="30" spans="3:294" x14ac:dyDescent="0.3">
      <c r="G30" s="49"/>
      <c r="I30" s="49"/>
      <c r="J30" s="846"/>
      <c r="K30" s="846"/>
      <c r="L30" s="846" t="s">
        <v>432</v>
      </c>
      <c r="M30" s="856">
        <v>3</v>
      </c>
      <c r="N30" s="856"/>
      <c r="O30" s="856"/>
      <c r="P30" s="856"/>
      <c r="Q30" s="856"/>
      <c r="R30" s="856">
        <v>4</v>
      </c>
      <c r="S30" s="49"/>
      <c r="U30" s="49"/>
      <c r="V30" s="892"/>
      <c r="W30" s="892"/>
      <c r="X30" s="892" t="s">
        <v>438</v>
      </c>
      <c r="Y30" s="856">
        <v>2</v>
      </c>
      <c r="Z30" s="856">
        <f>Y30+1</f>
        <v>3</v>
      </c>
      <c r="AA30" s="49"/>
      <c r="AC30" s="49"/>
      <c r="AH30" s="49"/>
      <c r="AJ30" s="49"/>
      <c r="AK30" s="49"/>
      <c r="AL30" s="49"/>
      <c r="AM30" s="49"/>
      <c r="AQ30" s="802" t="s">
        <v>432</v>
      </c>
      <c r="AR30" s="803"/>
      <c r="AS30" s="802"/>
      <c r="AT30" s="802">
        <v>3</v>
      </c>
      <c r="AU30" s="802">
        <v>3</v>
      </c>
      <c r="AV30" s="802"/>
      <c r="AW30" s="802"/>
      <c r="AX30" s="802"/>
      <c r="AY30" s="802"/>
      <c r="AZ30" s="84"/>
      <c r="BA30" s="84">
        <v>4</v>
      </c>
      <c r="BB30" s="49"/>
      <c r="BD30" s="49"/>
      <c r="BE30" s="49"/>
      <c r="BF30" s="49"/>
      <c r="BG30" s="49"/>
      <c r="BH30" s="49"/>
      <c r="BI30" s="49"/>
      <c r="BK30" s="49"/>
      <c r="BL30" s="849"/>
      <c r="BM30" s="849"/>
      <c r="BN30" s="849" t="s">
        <v>432</v>
      </c>
      <c r="BO30" s="849">
        <v>9</v>
      </c>
      <c r="BP30" s="849"/>
      <c r="BQ30" s="849">
        <v>4</v>
      </c>
      <c r="BR30" s="849"/>
      <c r="BS30" s="849"/>
      <c r="BT30" s="849">
        <v>4</v>
      </c>
      <c r="BU30" s="49"/>
      <c r="BW30" s="42"/>
      <c r="BX30" s="10"/>
      <c r="BY30" s="10"/>
      <c r="BZ30" s="10"/>
      <c r="CA30" s="10"/>
      <c r="CB30" s="10"/>
      <c r="CC30" s="10"/>
      <c r="CD30" s="10"/>
      <c r="CE30" s="10"/>
      <c r="CF30" s="49"/>
      <c r="CH30" s="49"/>
      <c r="CK30" s="844" t="s">
        <v>434</v>
      </c>
      <c r="CM30" s="4"/>
      <c r="CO30" s="4"/>
      <c r="CP30" s="4"/>
      <c r="CS30" s="49"/>
      <c r="CU30" s="49"/>
      <c r="DE30" s="42"/>
      <c r="DG30" s="49"/>
      <c r="DH30" s="49"/>
      <c r="DI30" s="49"/>
      <c r="DJ30" s="844" t="s">
        <v>435</v>
      </c>
      <c r="DK30" s="85"/>
      <c r="DL30" s="85"/>
      <c r="DM30" s="85"/>
      <c r="DN30" s="85"/>
      <c r="DO30" s="85"/>
      <c r="DP30" s="85"/>
      <c r="DQ30" s="85"/>
      <c r="DR30" s="85"/>
      <c r="DS30" s="85"/>
      <c r="DV30" s="49"/>
      <c r="DW30" s="49"/>
      <c r="DX30" s="49"/>
      <c r="DY30" s="844" t="s">
        <v>443</v>
      </c>
      <c r="DZ30" s="85"/>
      <c r="EA30" s="85"/>
      <c r="EB30" s="85"/>
      <c r="EE30" s="49"/>
      <c r="EK30" s="49"/>
      <c r="EM30" s="49"/>
      <c r="EN30" s="49"/>
      <c r="EO30" s="49"/>
      <c r="EP30" s="844" t="s">
        <v>436</v>
      </c>
      <c r="EQ30" s="3"/>
      <c r="ER30" s="3"/>
      <c r="ES30" s="3"/>
      <c r="ET30" s="3"/>
      <c r="EU30" s="3"/>
      <c r="EV30" s="3"/>
      <c r="EW30" s="3"/>
      <c r="EX30" s="3"/>
      <c r="EY30" s="3"/>
      <c r="EZ30" s="49"/>
      <c r="FB30" s="49"/>
      <c r="FF30" s="49"/>
      <c r="FH30" s="49"/>
      <c r="FI30" s="849"/>
      <c r="FJ30" s="893" t="s">
        <v>432</v>
      </c>
      <c r="FK30" s="894"/>
      <c r="FL30" s="847"/>
      <c r="FM30" s="847"/>
      <c r="FN30" s="847">
        <v>4</v>
      </c>
      <c r="FO30" s="49"/>
      <c r="FR30" s="846"/>
      <c r="FS30" s="846"/>
      <c r="FT30" s="846" t="s">
        <v>432</v>
      </c>
      <c r="FU30" s="846">
        <v>8</v>
      </c>
      <c r="FV30" s="846">
        <v>7</v>
      </c>
      <c r="FW30" s="846">
        <v>7</v>
      </c>
      <c r="FX30" s="846">
        <v>9</v>
      </c>
      <c r="FY30" s="846">
        <v>4</v>
      </c>
      <c r="FZ30" s="846"/>
      <c r="GA30" s="846">
        <v>4</v>
      </c>
      <c r="GB30" s="846"/>
      <c r="GC30" s="846">
        <v>4</v>
      </c>
      <c r="GG30" s="846"/>
      <c r="GH30" s="846"/>
      <c r="GI30" s="846" t="s">
        <v>432</v>
      </c>
      <c r="GJ30" s="846">
        <v>10</v>
      </c>
      <c r="GK30" s="846">
        <v>8</v>
      </c>
      <c r="GL30" s="846">
        <v>9</v>
      </c>
      <c r="GM30" s="846">
        <v>11</v>
      </c>
      <c r="GN30" s="846">
        <v>5</v>
      </c>
      <c r="GO30" s="846">
        <v>11</v>
      </c>
      <c r="GP30" s="846">
        <v>5</v>
      </c>
      <c r="GQ30" s="846">
        <v>11</v>
      </c>
      <c r="GR30" s="846">
        <v>3</v>
      </c>
      <c r="GS30" s="716"/>
      <c r="HA30" s="716" t="s">
        <v>439</v>
      </c>
      <c r="HB30" s="860"/>
      <c r="HC30" s="860">
        <f>31.49*100</f>
        <v>3149</v>
      </c>
      <c r="HE30" s="11"/>
      <c r="HH30" s="54"/>
      <c r="HI30" s="54"/>
      <c r="HJ30" s="54"/>
      <c r="HK30" s="54"/>
      <c r="HL30" s="54"/>
      <c r="HM30" s="11"/>
      <c r="HN30" s="11"/>
      <c r="HQ30" s="846" t="s">
        <v>437</v>
      </c>
      <c r="HR30" s="846"/>
      <c r="HS30" s="846"/>
      <c r="HT30" s="846">
        <v>3</v>
      </c>
      <c r="HU30" s="846"/>
      <c r="HV30" s="846">
        <v>11</v>
      </c>
      <c r="HW30" s="846"/>
      <c r="HX30" s="846"/>
      <c r="HY30" s="846">
        <v>6</v>
      </c>
      <c r="HZ30" s="49"/>
      <c r="IB30" s="49"/>
      <c r="IP30" s="49"/>
      <c r="IQ30" s="49"/>
      <c r="JB30" s="11"/>
      <c r="JG30" s="846" t="s">
        <v>437</v>
      </c>
      <c r="JH30" s="846"/>
      <c r="JI30" s="846"/>
      <c r="JJ30" s="846">
        <v>3</v>
      </c>
      <c r="JK30" s="846"/>
      <c r="JL30" s="846">
        <v>5</v>
      </c>
      <c r="JM30" s="846"/>
      <c r="JN30" s="846"/>
      <c r="JO30" s="846">
        <v>6</v>
      </c>
    </row>
    <row r="31" spans="3:294" x14ac:dyDescent="0.3">
      <c r="I31" s="49"/>
      <c r="U31" s="49"/>
      <c r="V31" s="518"/>
      <c r="W31" s="518"/>
      <c r="X31" s="518"/>
      <c r="Y31" s="518"/>
      <c r="Z31" s="518"/>
      <c r="AC31" s="49"/>
      <c r="AJ31" s="49"/>
      <c r="AK31" s="49"/>
      <c r="AL31" s="49"/>
      <c r="AM31" s="49"/>
      <c r="AP31" s="87"/>
      <c r="AQ31" s="803" t="s">
        <v>438</v>
      </c>
      <c r="AR31" s="803"/>
      <c r="AS31" s="803">
        <v>2</v>
      </c>
      <c r="AT31" s="803">
        <f>+AS31+1</f>
        <v>3</v>
      </c>
      <c r="AU31" s="803">
        <f t="shared" ref="AU31:AY31" si="126">+AT31+1</f>
        <v>4</v>
      </c>
      <c r="AV31" s="803">
        <f t="shared" si="126"/>
        <v>5</v>
      </c>
      <c r="AW31" s="803">
        <f t="shared" si="126"/>
        <v>6</v>
      </c>
      <c r="AX31" s="803">
        <f t="shared" si="126"/>
        <v>7</v>
      </c>
      <c r="AY31" s="803">
        <f t="shared" si="126"/>
        <v>8</v>
      </c>
      <c r="AZ31" s="86"/>
      <c r="BA31" s="86">
        <f>+AY31+1</f>
        <v>9</v>
      </c>
      <c r="BD31" s="49"/>
      <c r="BE31" s="49"/>
      <c r="BF31" s="49"/>
      <c r="BG31" s="49"/>
      <c r="BH31" s="49"/>
      <c r="BK31" s="49"/>
      <c r="BW31" s="42"/>
      <c r="BX31" s="10"/>
      <c r="BY31" s="10"/>
      <c r="BZ31" s="10"/>
      <c r="CA31" s="10"/>
      <c r="CB31" s="10"/>
      <c r="CC31" s="10"/>
      <c r="CD31" s="10"/>
      <c r="CE31" s="10"/>
      <c r="CH31" s="49"/>
      <c r="CI31" s="849"/>
      <c r="CJ31" s="849" t="s">
        <v>432</v>
      </c>
      <c r="CK31" s="849"/>
      <c r="CL31" s="849">
        <v>4</v>
      </c>
      <c r="CM31" s="849"/>
      <c r="CN31" s="849">
        <v>7</v>
      </c>
      <c r="CO31" s="849"/>
      <c r="CP31" s="849"/>
      <c r="CQ31" s="849"/>
      <c r="CR31" s="849">
        <v>4</v>
      </c>
      <c r="CS31" s="49"/>
      <c r="CU31" s="49"/>
      <c r="DE31" s="10"/>
      <c r="DG31" s="49"/>
      <c r="DH31" s="849"/>
      <c r="DI31" s="849"/>
      <c r="DJ31" s="849" t="s">
        <v>432</v>
      </c>
      <c r="DK31" s="849">
        <v>8</v>
      </c>
      <c r="DL31" s="849"/>
      <c r="DM31" s="849">
        <v>7</v>
      </c>
      <c r="DN31" s="849"/>
      <c r="DO31" s="849">
        <v>4</v>
      </c>
      <c r="DP31" s="849"/>
      <c r="DQ31" s="849"/>
      <c r="DR31" s="849"/>
      <c r="DS31" s="849">
        <v>4</v>
      </c>
      <c r="DV31" s="49"/>
      <c r="DY31" s="844" t="s">
        <v>444</v>
      </c>
      <c r="EE31" s="49"/>
      <c r="EM31" s="49"/>
      <c r="EN31" s="849"/>
      <c r="EO31" s="849"/>
      <c r="EP31" s="849" t="s">
        <v>432</v>
      </c>
      <c r="EQ31" s="847">
        <v>4</v>
      </c>
      <c r="ER31" s="847"/>
      <c r="ES31" s="847">
        <v>8</v>
      </c>
      <c r="ET31" s="847"/>
      <c r="EU31" s="847">
        <v>4</v>
      </c>
      <c r="EV31" s="850"/>
      <c r="EW31" s="847"/>
      <c r="EX31" s="847"/>
      <c r="EY31" s="847">
        <v>4</v>
      </c>
      <c r="FB31" s="49"/>
      <c r="FH31" s="49"/>
      <c r="FI31" s="849"/>
      <c r="FJ31" s="893" t="s">
        <v>438</v>
      </c>
      <c r="FK31" s="894"/>
      <c r="FL31" s="847"/>
      <c r="FM31" s="847">
        <f>Z30+1</f>
        <v>4</v>
      </c>
      <c r="FN31" s="847">
        <f t="shared" ref="FN31" si="127">FM31+1</f>
        <v>5</v>
      </c>
      <c r="FR31" s="846"/>
      <c r="FS31" s="846"/>
      <c r="FT31" s="846" t="s">
        <v>438</v>
      </c>
      <c r="FU31" s="846">
        <v>1</v>
      </c>
      <c r="FV31" s="846">
        <f t="shared" ref="FV31:GC31" si="128">+FU31+1</f>
        <v>2</v>
      </c>
      <c r="FW31" s="846">
        <f t="shared" si="128"/>
        <v>3</v>
      </c>
      <c r="FX31" s="846">
        <f t="shared" si="128"/>
        <v>4</v>
      </c>
      <c r="FY31" s="846">
        <f t="shared" si="128"/>
        <v>5</v>
      </c>
      <c r="FZ31" s="846">
        <v>9</v>
      </c>
      <c r="GA31" s="846">
        <f t="shared" si="128"/>
        <v>10</v>
      </c>
      <c r="GB31" s="846">
        <f t="shared" si="128"/>
        <v>11</v>
      </c>
      <c r="GC31" s="846">
        <f t="shared" si="128"/>
        <v>12</v>
      </c>
      <c r="GG31" s="846"/>
      <c r="GH31" s="846"/>
      <c r="GI31" s="846" t="s">
        <v>438</v>
      </c>
      <c r="GJ31" s="846">
        <v>3</v>
      </c>
      <c r="GK31" s="846">
        <f t="shared" ref="GK31:GR31" si="129">+GJ31+1</f>
        <v>4</v>
      </c>
      <c r="GL31" s="846">
        <f t="shared" si="129"/>
        <v>5</v>
      </c>
      <c r="GM31" s="846">
        <f t="shared" si="129"/>
        <v>6</v>
      </c>
      <c r="GN31" s="846">
        <f t="shared" si="129"/>
        <v>7</v>
      </c>
      <c r="GO31" s="846">
        <f t="shared" si="129"/>
        <v>8</v>
      </c>
      <c r="GP31" s="846">
        <f t="shared" si="129"/>
        <v>9</v>
      </c>
      <c r="GQ31" s="846">
        <f t="shared" si="129"/>
        <v>10</v>
      </c>
      <c r="GR31" s="846">
        <f t="shared" si="129"/>
        <v>11</v>
      </c>
      <c r="GS31" s="716"/>
      <c r="GV31" s="846"/>
      <c r="GW31" s="846"/>
      <c r="GX31" s="846" t="s">
        <v>437</v>
      </c>
      <c r="GY31" s="856">
        <v>4</v>
      </c>
      <c r="GZ31" s="856">
        <v>10</v>
      </c>
      <c r="HA31" s="856">
        <v>11</v>
      </c>
      <c r="HB31" s="856"/>
      <c r="HC31" s="856"/>
      <c r="HD31" s="856"/>
      <c r="HE31" s="61"/>
      <c r="HH31" s="61"/>
      <c r="HI31" s="61"/>
      <c r="HJ31" s="61"/>
      <c r="HK31" s="61"/>
      <c r="HL31" s="61"/>
      <c r="HM31" s="61"/>
      <c r="HN31" s="61"/>
      <c r="IB31" s="49"/>
      <c r="IQ31" s="49"/>
      <c r="JJ31" s="716"/>
      <c r="JK31" s="358"/>
      <c r="JL31" s="358"/>
      <c r="JM31" s="716"/>
      <c r="JN31" s="716"/>
    </row>
    <row r="32" spans="3:294" x14ac:dyDescent="0.3">
      <c r="I32" s="49"/>
      <c r="U32" s="49"/>
      <c r="AC32" s="49"/>
      <c r="AJ32" s="49"/>
      <c r="AK32" s="49"/>
      <c r="AL32" s="49"/>
      <c r="AM32" s="49"/>
      <c r="BD32" s="49"/>
      <c r="BE32" s="49"/>
      <c r="BF32" s="49"/>
      <c r="BG32" s="49"/>
      <c r="BH32" s="49"/>
      <c r="BK32" s="49"/>
      <c r="BW32" s="42"/>
      <c r="BX32" s="10"/>
      <c r="BY32" s="10"/>
      <c r="BZ32" s="10"/>
      <c r="CA32" s="10"/>
      <c r="CB32" s="10"/>
      <c r="CC32" s="10"/>
      <c r="CD32" s="10"/>
      <c r="CE32" s="10"/>
      <c r="CH32" s="49"/>
      <c r="CU32" s="49"/>
      <c r="DE32" s="10"/>
      <c r="DG32" s="49"/>
      <c r="DV32" s="49"/>
      <c r="DW32" s="849"/>
      <c r="DX32" s="849"/>
      <c r="DY32" s="849" t="s">
        <v>432</v>
      </c>
      <c r="DZ32" s="849">
        <v>7</v>
      </c>
      <c r="EA32" s="849"/>
      <c r="EB32" s="849">
        <v>4</v>
      </c>
      <c r="EE32" s="49"/>
      <c r="EM32" s="49"/>
      <c r="EN32" s="845"/>
      <c r="EO32" s="845"/>
      <c r="EP32" s="845"/>
      <c r="EQ32" s="845"/>
      <c r="ER32" s="845"/>
      <c r="ES32" s="845"/>
      <c r="ET32" s="845"/>
      <c r="EU32" s="845"/>
      <c r="EV32" s="848"/>
      <c r="EW32" s="845"/>
      <c r="EX32" s="845"/>
      <c r="EY32" s="845"/>
      <c r="FB32" s="49"/>
      <c r="FH32" s="49"/>
      <c r="FI32" s="716"/>
      <c r="FJ32" s="716"/>
      <c r="FK32" s="716"/>
      <c r="FL32" s="716"/>
      <c r="FM32" s="716"/>
      <c r="FN32" s="716"/>
      <c r="FR32" s="716"/>
      <c r="FS32" s="716"/>
      <c r="FT32" s="716"/>
      <c r="FU32" s="716"/>
      <c r="FV32" s="716"/>
      <c r="FW32" s="716"/>
      <c r="FX32" s="716"/>
      <c r="FY32" s="716"/>
      <c r="FZ32" s="716"/>
      <c r="GA32" s="716"/>
      <c r="GB32" s="716"/>
      <c r="GC32" s="716"/>
      <c r="GS32" s="716"/>
      <c r="GV32" s="846"/>
      <c r="GW32" s="846"/>
      <c r="GX32" s="846" t="s">
        <v>433</v>
      </c>
      <c r="GY32" s="856">
        <v>2</v>
      </c>
      <c r="GZ32" s="856">
        <f>GY32+1</f>
        <v>3</v>
      </c>
      <c r="HA32" s="856">
        <f t="shared" ref="HA32:HD32" si="130">GZ32+1</f>
        <v>4</v>
      </c>
      <c r="HB32" s="856">
        <f t="shared" si="130"/>
        <v>5</v>
      </c>
      <c r="HC32" s="856">
        <f t="shared" si="130"/>
        <v>6</v>
      </c>
      <c r="HD32" s="856">
        <f t="shared" si="130"/>
        <v>7</v>
      </c>
      <c r="HU32" s="866"/>
      <c r="HV32" s="866"/>
      <c r="IB32" s="49"/>
      <c r="IQ32" s="49"/>
      <c r="JJ32" s="716"/>
      <c r="JK32" s="891"/>
      <c r="JL32" s="891"/>
      <c r="JM32" s="716"/>
      <c r="JN32" s="716"/>
    </row>
    <row r="33" spans="9:274" x14ac:dyDescent="0.3">
      <c r="I33" s="49"/>
      <c r="U33" s="49"/>
      <c r="AC33" s="49"/>
      <c r="AJ33" s="49"/>
      <c r="AK33" s="49"/>
      <c r="AL33" s="49"/>
      <c r="AM33" s="49"/>
      <c r="BD33" s="49"/>
      <c r="BE33" s="49"/>
      <c r="BF33" s="49"/>
      <c r="BG33" s="49"/>
      <c r="BH33" s="49"/>
      <c r="BK33" s="49"/>
      <c r="BW33" s="42"/>
      <c r="BX33" s="10"/>
      <c r="BY33" s="10"/>
      <c r="BZ33" s="10"/>
      <c r="CA33" s="10"/>
      <c r="CB33" s="10"/>
      <c r="CC33" s="10"/>
      <c r="CD33" s="10"/>
      <c r="CE33" s="10"/>
      <c r="CH33" s="49"/>
      <c r="CU33" s="49"/>
      <c r="DE33" s="10"/>
      <c r="DG33" s="49"/>
      <c r="DV33" s="49"/>
      <c r="EE33" s="49"/>
      <c r="EM33" s="49"/>
      <c r="FB33" s="49"/>
      <c r="FH33" s="49"/>
      <c r="GS33" s="716"/>
      <c r="GW33" s="716"/>
      <c r="GX33" s="716"/>
      <c r="GY33" s="716"/>
      <c r="GZ33" s="716"/>
      <c r="HA33" s="716"/>
      <c r="HB33" s="716"/>
      <c r="HC33" s="716"/>
      <c r="HD33" s="716"/>
      <c r="IB33" s="49"/>
      <c r="IQ33" s="49"/>
      <c r="JJ33" s="716"/>
      <c r="JK33" s="716"/>
      <c r="JL33" s="716"/>
      <c r="JM33" s="716"/>
      <c r="JN33" s="716"/>
    </row>
    <row r="34" spans="9:274" x14ac:dyDescent="0.3">
      <c r="I34" s="49"/>
      <c r="U34" s="49"/>
      <c r="AC34" s="49"/>
      <c r="AJ34" s="49"/>
      <c r="AK34" s="49"/>
      <c r="AL34" s="49"/>
      <c r="AM34" s="49"/>
      <c r="BD34" s="49"/>
      <c r="BE34" s="49"/>
      <c r="BF34" s="49"/>
      <c r="BG34" s="49"/>
      <c r="BH34" s="49"/>
      <c r="BK34" s="49"/>
      <c r="BW34" s="42"/>
      <c r="BX34" s="10"/>
      <c r="BY34" s="10"/>
      <c r="BZ34" s="10"/>
      <c r="CA34" s="10"/>
      <c r="CB34" s="10"/>
      <c r="CC34" s="10"/>
      <c r="CD34" s="10"/>
      <c r="CE34" s="10"/>
      <c r="CH34" s="49"/>
      <c r="CU34" s="49"/>
      <c r="DE34" s="10"/>
      <c r="DG34" s="49"/>
      <c r="DV34" s="49"/>
      <c r="EE34" s="49"/>
      <c r="EM34" s="49"/>
      <c r="EN34" s="716"/>
      <c r="EO34" s="716"/>
      <c r="EP34" s="716"/>
      <c r="EQ34" s="716"/>
      <c r="ER34" s="716"/>
      <c r="ES34" s="716"/>
      <c r="ET34" s="716"/>
      <c r="EU34" s="716"/>
      <c r="EV34" s="716"/>
      <c r="EW34" s="716"/>
      <c r="EX34" s="716"/>
      <c r="EY34" s="716"/>
      <c r="FB34" s="49"/>
      <c r="FH34" s="49"/>
      <c r="GH34" s="716"/>
      <c r="GI34" s="716"/>
      <c r="GJ34" s="716"/>
      <c r="GK34" s="716"/>
      <c r="GL34" s="716"/>
      <c r="GM34" s="716"/>
      <c r="GN34" s="716"/>
      <c r="GO34" s="716"/>
      <c r="GP34" s="716"/>
      <c r="GQ34" s="716"/>
      <c r="GR34" s="716"/>
      <c r="GS34" s="716"/>
      <c r="HE34" s="12"/>
      <c r="HH34" s="12"/>
      <c r="HI34" s="12"/>
      <c r="HJ34" s="12"/>
      <c r="HK34" s="12"/>
      <c r="HL34" s="12"/>
      <c r="HM34" s="12"/>
      <c r="HN34" s="12"/>
      <c r="HV34" s="35"/>
      <c r="IB34" s="49"/>
      <c r="IQ34" s="49"/>
    </row>
    <row r="35" spans="9:274" x14ac:dyDescent="0.3">
      <c r="I35" s="49"/>
      <c r="M35" s="12"/>
      <c r="N35" s="12"/>
      <c r="O35" s="12"/>
      <c r="P35" s="12"/>
      <c r="Q35" s="12"/>
      <c r="R35" s="12"/>
      <c r="U35" s="49"/>
      <c r="AC35" s="49"/>
      <c r="AJ35" s="49"/>
      <c r="AK35" s="49"/>
      <c r="AL35" s="49"/>
      <c r="AM35" s="49"/>
      <c r="BD35" s="49"/>
      <c r="BK35" s="49"/>
      <c r="BW35" s="42"/>
      <c r="BX35" s="10"/>
      <c r="BY35" s="10"/>
      <c r="BZ35" s="10"/>
      <c r="CA35" s="10"/>
      <c r="CB35" s="10"/>
      <c r="CC35" s="10"/>
      <c r="CD35" s="10"/>
      <c r="CE35" s="10"/>
      <c r="CH35" s="49"/>
      <c r="CU35" s="49"/>
      <c r="DE35" s="10"/>
      <c r="EE35" s="49"/>
      <c r="EM35" s="49"/>
      <c r="EN35" s="716"/>
      <c r="EO35" s="716"/>
      <c r="EP35" s="716"/>
      <c r="EQ35" s="716"/>
      <c r="ER35" s="716"/>
      <c r="ES35" s="716"/>
      <c r="ET35" s="716"/>
      <c r="EU35" s="716"/>
      <c r="EV35" s="716"/>
      <c r="EW35" s="716"/>
      <c r="EX35" s="716"/>
      <c r="EY35" s="716"/>
      <c r="FB35" s="49"/>
      <c r="FN35" s="716"/>
      <c r="FR35" s="716"/>
      <c r="FS35" s="716"/>
      <c r="FT35" s="716"/>
      <c r="FU35" s="716"/>
      <c r="FV35" s="716"/>
      <c r="FW35" s="716"/>
      <c r="FX35" s="716"/>
      <c r="FY35" s="716"/>
      <c r="FZ35" s="716"/>
      <c r="GA35" s="716"/>
      <c r="GB35" s="716"/>
      <c r="GC35" s="716"/>
      <c r="GH35" s="716"/>
      <c r="GI35" s="716"/>
      <c r="GJ35" s="716"/>
      <c r="GK35" s="716"/>
      <c r="GL35" s="716"/>
      <c r="GM35" s="716"/>
      <c r="GN35" s="716"/>
      <c r="GO35" s="716"/>
      <c r="GP35" s="716"/>
      <c r="GQ35" s="716"/>
      <c r="GR35" s="716"/>
      <c r="GS35" s="716"/>
      <c r="HE35" s="12"/>
      <c r="HH35" s="12"/>
      <c r="HI35" s="12"/>
      <c r="HJ35" s="12"/>
      <c r="HK35" s="12"/>
      <c r="HL35" s="12"/>
      <c r="HM35" s="12"/>
      <c r="HN35" s="12"/>
      <c r="HV35" s="14"/>
      <c r="IB35" s="49"/>
      <c r="IQ35" s="49"/>
    </row>
    <row r="36" spans="9:274" x14ac:dyDescent="0.3">
      <c r="M36" s="12"/>
      <c r="N36" s="12"/>
      <c r="O36" s="12"/>
      <c r="P36" s="12"/>
      <c r="Q36" s="12"/>
      <c r="R36" s="12"/>
      <c r="AN36" s="87"/>
      <c r="BW36" s="10"/>
      <c r="BX36" s="10"/>
      <c r="BY36" s="10"/>
      <c r="BZ36" s="10"/>
      <c r="CA36" s="10"/>
      <c r="CB36" s="10"/>
      <c r="CC36" s="10"/>
      <c r="CD36" s="10"/>
      <c r="CE36" s="10"/>
      <c r="CH36" s="49"/>
      <c r="DE36" s="10"/>
      <c r="EN36" s="716"/>
      <c r="EO36" s="716"/>
      <c r="EP36" s="716"/>
      <c r="EQ36" s="716"/>
      <c r="ER36" s="716"/>
      <c r="ES36" s="716"/>
      <c r="ET36" s="716"/>
      <c r="EU36" s="716"/>
      <c r="EV36" s="716"/>
      <c r="EW36" s="716"/>
      <c r="EX36" s="716"/>
      <c r="EY36" s="716"/>
      <c r="FR36" s="716"/>
      <c r="FS36" s="716"/>
      <c r="FT36" s="716"/>
      <c r="FU36" s="716"/>
      <c r="FV36" s="716"/>
      <c r="FW36" s="716"/>
      <c r="FX36" s="716"/>
      <c r="FY36" s="716"/>
      <c r="FZ36" s="716"/>
      <c r="GA36" s="716"/>
      <c r="GB36" s="716"/>
      <c r="GC36" s="716"/>
      <c r="GH36" s="716"/>
      <c r="GI36" s="716"/>
      <c r="GJ36" s="716"/>
      <c r="GK36" s="716"/>
      <c r="GL36" s="716"/>
      <c r="GM36" s="716"/>
      <c r="GN36" s="716"/>
      <c r="GO36" s="716"/>
      <c r="GP36" s="716"/>
      <c r="GQ36" s="716"/>
      <c r="GR36" s="716"/>
      <c r="GS36" s="716"/>
      <c r="GW36" s="716"/>
      <c r="GX36" s="716"/>
      <c r="GY36" s="716"/>
      <c r="GZ36" s="716"/>
      <c r="HA36" s="716"/>
      <c r="HB36" s="716"/>
      <c r="HC36" s="716"/>
      <c r="HD36" s="716"/>
    </row>
    <row r="37" spans="9:274" x14ac:dyDescent="0.3">
      <c r="BW37" s="10"/>
      <c r="BX37" s="10"/>
      <c r="BY37" s="10"/>
      <c r="BZ37" s="10"/>
      <c r="CA37" s="10"/>
      <c r="CB37" s="10"/>
      <c r="CC37" s="10"/>
      <c r="CD37" s="10"/>
      <c r="CE37" s="10"/>
      <c r="DE37" s="10"/>
      <c r="GH37" s="716"/>
      <c r="GI37" s="716"/>
      <c r="GJ37" s="716"/>
      <c r="GK37" s="716"/>
      <c r="GL37" s="716"/>
      <c r="GM37" s="716"/>
      <c r="GN37" s="716"/>
      <c r="GO37" s="716"/>
      <c r="GP37" s="716"/>
      <c r="GQ37" s="716"/>
      <c r="GR37" s="716"/>
      <c r="GS37" s="716"/>
      <c r="GW37" s="716"/>
      <c r="GX37" s="716"/>
      <c r="GY37" s="716"/>
      <c r="GZ37" s="716"/>
      <c r="HA37" s="716"/>
      <c r="HB37" s="716"/>
      <c r="HC37" s="716"/>
      <c r="HD37" s="716"/>
    </row>
    <row r="38" spans="9:274" x14ac:dyDescent="0.3">
      <c r="BW38" s="10"/>
      <c r="BX38" s="10"/>
      <c r="BY38" s="10"/>
      <c r="BZ38" s="10"/>
      <c r="CA38" s="10"/>
      <c r="CB38" s="10"/>
      <c r="CC38" s="10"/>
      <c r="CD38" s="10"/>
      <c r="CE38" s="10"/>
      <c r="DE38" s="10"/>
      <c r="GH38" s="716"/>
      <c r="GI38" s="716"/>
      <c r="GJ38" s="716"/>
      <c r="GK38" s="716"/>
      <c r="GL38" s="716"/>
      <c r="GM38" s="716"/>
      <c r="GN38" s="716"/>
      <c r="GO38" s="716"/>
      <c r="GP38" s="716"/>
      <c r="GQ38" s="716"/>
      <c r="GR38" s="716"/>
      <c r="GS38" s="716"/>
      <c r="GW38" s="716"/>
      <c r="GX38" s="716"/>
      <c r="GY38" s="716"/>
      <c r="GZ38" s="716"/>
      <c r="HA38" s="716"/>
      <c r="HB38" s="716"/>
      <c r="HC38" s="716"/>
      <c r="HD38" s="716"/>
    </row>
    <row r="39" spans="9:274" x14ac:dyDescent="0.3">
      <c r="BW39" s="10"/>
      <c r="BX39" s="10"/>
      <c r="BY39" s="10"/>
      <c r="BZ39" s="10"/>
      <c r="CA39" s="10"/>
      <c r="CB39" s="10"/>
      <c r="CC39" s="10"/>
      <c r="CD39" s="10"/>
      <c r="CE39" s="10"/>
      <c r="DE39" s="10"/>
      <c r="GH39" s="716"/>
      <c r="GI39" s="716"/>
      <c r="GJ39" s="716"/>
      <c r="GK39" s="716"/>
      <c r="GL39" s="716"/>
      <c r="GM39" s="716"/>
      <c r="GN39" s="716"/>
      <c r="GO39" s="716"/>
      <c r="GP39" s="716"/>
      <c r="GQ39" s="716"/>
      <c r="GR39" s="716"/>
      <c r="GS39" s="716"/>
      <c r="GW39" s="716"/>
      <c r="GX39" s="716"/>
      <c r="GY39" s="716"/>
    </row>
    <row r="40" spans="9:274" x14ac:dyDescent="0.3">
      <c r="BW40" s="10"/>
      <c r="BX40" s="10"/>
      <c r="BY40" s="10"/>
      <c r="BZ40" s="10"/>
      <c r="CA40" s="10"/>
      <c r="CB40" s="10"/>
      <c r="CC40" s="10"/>
      <c r="CD40" s="10"/>
      <c r="CE40" s="10"/>
      <c r="DE40" s="10"/>
      <c r="HA40" s="860"/>
    </row>
    <row r="41" spans="9:274" x14ac:dyDescent="0.3">
      <c r="BW41" s="10"/>
      <c r="BX41" s="10"/>
      <c r="BY41" s="10"/>
      <c r="BZ41" s="10"/>
      <c r="CA41" s="10"/>
      <c r="CB41" s="10"/>
      <c r="CC41" s="10"/>
      <c r="CD41" s="10"/>
      <c r="CE41" s="10"/>
      <c r="DE41" s="10"/>
      <c r="HA41" s="860"/>
    </row>
    <row r="42" spans="9:274" x14ac:dyDescent="0.3">
      <c r="BW42" s="10"/>
      <c r="BX42" s="10"/>
      <c r="BY42" s="10"/>
      <c r="BZ42" s="10"/>
      <c r="CA42" s="10"/>
      <c r="CB42" s="10"/>
      <c r="CC42" s="10"/>
      <c r="CD42" s="10"/>
      <c r="CE42" s="10"/>
      <c r="DE42" s="10"/>
    </row>
    <row r="43" spans="9:274" x14ac:dyDescent="0.3">
      <c r="BW43" s="10"/>
      <c r="BX43" s="10"/>
      <c r="BY43" s="10"/>
      <c r="BZ43" s="10"/>
      <c r="CA43" s="10"/>
      <c r="CB43" s="10"/>
      <c r="CC43" s="10"/>
      <c r="CD43" s="10"/>
      <c r="CE43" s="10"/>
      <c r="DE43" s="10"/>
    </row>
    <row r="44" spans="9:274" x14ac:dyDescent="0.3">
      <c r="BW44" s="10"/>
      <c r="BX44" s="10"/>
      <c r="BY44" s="10"/>
      <c r="BZ44" s="10"/>
      <c r="CA44" s="10"/>
      <c r="CB44" s="10"/>
      <c r="CC44" s="10"/>
      <c r="CD44" s="10"/>
      <c r="CE44" s="10"/>
      <c r="DE44" s="10"/>
    </row>
    <row r="45" spans="9:274" x14ac:dyDescent="0.3">
      <c r="BW45" s="10"/>
      <c r="BX45" s="10"/>
      <c r="BY45" s="10"/>
      <c r="BZ45" s="10"/>
      <c r="CA45" s="10"/>
      <c r="CB45" s="10"/>
      <c r="CC45" s="10"/>
      <c r="CD45" s="10"/>
      <c r="CE45" s="10"/>
      <c r="DE45" s="10"/>
    </row>
    <row r="46" spans="9:274" x14ac:dyDescent="0.3">
      <c r="BW46" s="10"/>
      <c r="BX46" s="10"/>
      <c r="BY46" s="10"/>
      <c r="BZ46" s="10"/>
      <c r="CA46" s="10"/>
      <c r="CB46" s="10"/>
      <c r="CC46" s="10"/>
      <c r="CD46" s="10"/>
      <c r="CE46" s="10"/>
      <c r="DE46" s="10"/>
    </row>
    <row r="47" spans="9:274" x14ac:dyDescent="0.3">
      <c r="BW47" s="10"/>
      <c r="BX47" s="10"/>
      <c r="BY47" s="10"/>
      <c r="BZ47" s="10"/>
      <c r="CA47" s="10"/>
      <c r="CB47" s="10"/>
      <c r="CC47" s="10"/>
      <c r="CD47" s="10"/>
      <c r="CE47" s="10"/>
      <c r="DE47" s="10"/>
    </row>
    <row r="48" spans="9:274" x14ac:dyDescent="0.3">
      <c r="BW48" s="10"/>
      <c r="BX48" s="10"/>
      <c r="BY48" s="10"/>
      <c r="BZ48" s="10"/>
      <c r="CA48" s="10"/>
      <c r="CB48" s="10"/>
      <c r="CC48" s="10"/>
      <c r="CD48" s="10"/>
      <c r="CE48" s="10"/>
      <c r="DE48" s="10"/>
    </row>
    <row r="49" spans="75:109" x14ac:dyDescent="0.3">
      <c r="BW49" s="10"/>
      <c r="BX49" s="10"/>
      <c r="BY49" s="10"/>
      <c r="BZ49" s="10"/>
      <c r="CA49" s="10"/>
      <c r="CB49" s="10"/>
      <c r="CC49" s="10"/>
      <c r="CD49" s="10"/>
      <c r="CE49" s="10"/>
      <c r="DE49" s="10"/>
    </row>
    <row r="50" spans="75:109" x14ac:dyDescent="0.3">
      <c r="BW50" s="10"/>
      <c r="BX50" s="10"/>
      <c r="BY50" s="10"/>
      <c r="BZ50" s="10"/>
      <c r="CA50" s="10"/>
      <c r="CB50" s="10"/>
      <c r="CC50" s="10"/>
      <c r="CD50" s="10"/>
      <c r="CE50" s="10"/>
      <c r="DE50" s="10"/>
    </row>
  </sheetData>
  <mergeCells count="25">
    <mergeCell ref="JG1:JO1"/>
    <mergeCell ref="GG1:GR1"/>
    <mergeCell ref="GV1:HD1"/>
    <mergeCell ref="HH1:HM1"/>
    <mergeCell ref="HQ1:HY1"/>
    <mergeCell ref="IC1:IL1"/>
    <mergeCell ref="IP1:JC1"/>
    <mergeCell ref="DW1:EB1"/>
    <mergeCell ref="EF1:EJ1"/>
    <mergeCell ref="EN1:EY1"/>
    <mergeCell ref="FC1:FE1"/>
    <mergeCell ref="FI1:FN1"/>
    <mergeCell ref="FR1:GC1"/>
    <mergeCell ref="BE1:BH1"/>
    <mergeCell ref="BL1:BT1"/>
    <mergeCell ref="BX1:CE1"/>
    <mergeCell ref="CI1:CR1"/>
    <mergeCell ref="CV1:DD1"/>
    <mergeCell ref="DH1:DS1"/>
    <mergeCell ref="B1:F1"/>
    <mergeCell ref="J1:R1"/>
    <mergeCell ref="V1:Z1"/>
    <mergeCell ref="AD1:AG1"/>
    <mergeCell ref="AK1:AM1"/>
    <mergeCell ref="AQ1:BA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E7A5B-EA42-4260-BB9A-51F03662DAF3}">
  <sheetPr>
    <tabColor theme="8" tint="0.39997558519241921"/>
  </sheetPr>
  <dimension ref="A1:NW54"/>
  <sheetViews>
    <sheetView zoomScale="90" zoomScaleNormal="90" workbookViewId="0">
      <selection activeCell="E18" sqref="E18"/>
    </sheetView>
  </sheetViews>
  <sheetFormatPr defaultRowHeight="16.5" x14ac:dyDescent="0.3"/>
  <cols>
    <col min="1" max="1" width="2.42578125" style="518" customWidth="1"/>
    <col min="2" max="2" width="4.140625" style="518" customWidth="1"/>
    <col min="3" max="4" width="2.42578125" style="518" customWidth="1"/>
    <col min="5" max="5" width="33.140625" style="518" customWidth="1"/>
    <col min="6" max="6" width="19" style="518" customWidth="1"/>
    <col min="7" max="7" width="12.140625" style="518" customWidth="1"/>
    <col min="8" max="8" width="17.85546875" style="518" customWidth="1"/>
    <col min="9" max="9" width="12" style="518" customWidth="1"/>
    <col min="10" max="11" width="17.28515625" style="518" customWidth="1"/>
    <col min="12" max="12" width="11.5703125" style="518" customWidth="1"/>
    <col min="13" max="13" width="16.7109375" style="518" customWidth="1"/>
    <col min="14" max="14" width="17.85546875" style="518" customWidth="1"/>
    <col min="15" max="15" width="12" style="518" customWidth="1"/>
    <col min="16" max="16" width="18.42578125" style="518" customWidth="1"/>
    <col min="17" max="18" width="17.28515625" style="518" customWidth="1"/>
    <col min="19" max="19" width="7" style="518" customWidth="1"/>
    <col min="20" max="20" width="7" style="102" customWidth="1"/>
    <col min="21" max="21" width="7" style="518" customWidth="1"/>
    <col min="22" max="22" width="4.5703125" style="518" customWidth="1"/>
    <col min="23" max="23" width="61.85546875" style="518" customWidth="1"/>
    <col min="24" max="27" width="14.85546875" style="518" customWidth="1"/>
    <col min="28" max="28" width="3" style="518" customWidth="1"/>
    <col min="29" max="29" width="5.85546875" style="518" customWidth="1"/>
    <col min="30" max="30" width="7" style="102" customWidth="1"/>
    <col min="31" max="31" width="6.28515625" style="518" customWidth="1"/>
    <col min="32" max="32" width="4.5703125" style="518" customWidth="1"/>
    <col min="33" max="33" width="27" style="518" customWidth="1"/>
    <col min="34" max="36" width="20.140625" style="518" customWidth="1"/>
    <col min="37" max="37" width="7" style="518" customWidth="1"/>
    <col min="38" max="38" width="4" style="102" customWidth="1"/>
    <col min="39" max="39" width="2.42578125" style="518" customWidth="1"/>
    <col min="40" max="40" width="4.140625" style="518" customWidth="1"/>
    <col min="41" max="42" width="2.42578125" style="518" customWidth="1"/>
    <col min="43" max="43" width="32.7109375" style="518" customWidth="1"/>
    <col min="44" max="44" width="7.5703125" style="518" customWidth="1"/>
    <col min="45" max="45" width="16.5703125" style="518" hidden="1" customWidth="1"/>
    <col min="46" max="46" width="17.140625" style="518" hidden="1" customWidth="1"/>
    <col min="47" max="47" width="2.42578125" style="518" hidden="1" customWidth="1"/>
    <col min="48" max="48" width="15.42578125" style="518" hidden="1" customWidth="1"/>
    <col min="49" max="49" width="16.7109375" style="518" hidden="1" customWidth="1"/>
    <col min="50" max="50" width="12.140625" style="518" hidden="1" customWidth="1"/>
    <col min="51" max="51" width="1.85546875" style="518" hidden="1" customWidth="1"/>
    <col min="52" max="52" width="15.42578125" style="518" hidden="1" customWidth="1"/>
    <col min="53" max="53" width="16.7109375" style="518" hidden="1" customWidth="1"/>
    <col min="54" max="54" width="12.140625" style="518" hidden="1" customWidth="1"/>
    <col min="55" max="55" width="2.42578125" style="518" hidden="1" customWidth="1"/>
    <col min="56" max="56" width="15.42578125" style="518" hidden="1" customWidth="1"/>
    <col min="57" max="57" width="16.7109375" style="518" hidden="1" customWidth="1"/>
    <col min="58" max="58" width="12.140625" style="518" hidden="1" customWidth="1"/>
    <col min="59" max="59" width="2.42578125" style="518" hidden="1" customWidth="1"/>
    <col min="60" max="60" width="15.42578125" style="518" hidden="1" customWidth="1"/>
    <col min="61" max="61" width="16.7109375" style="518" hidden="1" customWidth="1"/>
    <col min="62" max="62" width="12.140625" style="518" hidden="1" customWidth="1"/>
    <col min="63" max="63" width="1.85546875" style="518" hidden="1" customWidth="1"/>
    <col min="64" max="64" width="15.42578125" style="518" hidden="1" customWidth="1"/>
    <col min="65" max="65" width="16.7109375" style="518" hidden="1" customWidth="1"/>
    <col min="66" max="66" width="12.140625" style="518" hidden="1" customWidth="1"/>
    <col min="67" max="67" width="1.85546875" style="518" hidden="1" customWidth="1"/>
    <col min="68" max="68" width="15.42578125" style="518" hidden="1" customWidth="1"/>
    <col min="69" max="69" width="16.7109375" style="518" hidden="1" customWidth="1"/>
    <col min="70" max="70" width="12.140625" style="518" hidden="1" customWidth="1"/>
    <col min="71" max="71" width="1.85546875" style="518" hidden="1" customWidth="1"/>
    <col min="72" max="72" width="18.42578125" style="518" hidden="1" customWidth="1"/>
    <col min="73" max="77" width="16.5703125" style="518" hidden="1" customWidth="1"/>
    <col min="78" max="79" width="16.5703125" style="518" customWidth="1"/>
    <col min="80" max="80" width="16.5703125" style="518" hidden="1" customWidth="1"/>
    <col min="81" max="81" width="18.42578125" style="518" customWidth="1"/>
    <col min="82" max="85" width="16.5703125" style="518" customWidth="1"/>
    <col min="86" max="86" width="2.85546875" style="518" customWidth="1"/>
    <col min="87" max="87" width="3" style="102" customWidth="1"/>
    <col min="88" max="88" width="3" style="518" customWidth="1"/>
    <col min="89" max="89" width="4.7109375" style="518" customWidth="1"/>
    <col min="90" max="90" width="17.140625" style="518" customWidth="1"/>
    <col min="91" max="91" width="15.5703125" style="518" customWidth="1"/>
    <col min="92" max="92" width="17.140625" style="518" bestFit="1" customWidth="1"/>
    <col min="93" max="93" width="15.5703125" style="518" customWidth="1"/>
    <col min="94" max="94" width="17.5703125" style="518" bestFit="1" customWidth="1"/>
    <col min="95" max="95" width="15.5703125" style="518" customWidth="1"/>
    <col min="96" max="96" width="17.5703125" style="518" customWidth="1"/>
    <col min="97" max="97" width="15.5703125" style="518" customWidth="1"/>
    <col min="98" max="98" width="17.5703125" style="518" bestFit="1" customWidth="1"/>
    <col min="99" max="99" width="3" style="518" customWidth="1"/>
    <col min="100" max="100" width="3" style="102" customWidth="1"/>
    <col min="101" max="101" width="3" style="518" customWidth="1"/>
    <col min="102" max="102" width="5.28515625" style="518" customWidth="1"/>
    <col min="103" max="103" width="17.140625" style="518" customWidth="1"/>
    <col min="104" max="104" width="16.5703125" style="518" customWidth="1"/>
    <col min="105" max="105" width="16.5703125" style="103" customWidth="1"/>
    <col min="106" max="107" width="16.5703125" style="518" customWidth="1"/>
    <col min="108" max="108" width="20.140625" style="518" customWidth="1"/>
    <col min="109" max="109" width="3" style="518" customWidth="1"/>
    <col min="110" max="110" width="3" style="102" customWidth="1"/>
    <col min="111" max="111" width="3" style="518" customWidth="1"/>
    <col min="112" max="112" width="5.28515625" style="518" customWidth="1"/>
    <col min="113" max="113" width="15.5703125" style="518" customWidth="1"/>
    <col min="114" max="114" width="17.85546875" style="518" customWidth="1"/>
    <col min="115" max="115" width="17.85546875" style="103" customWidth="1"/>
    <col min="116" max="117" width="17.85546875" style="518" customWidth="1"/>
    <col min="118" max="118" width="3" style="518" customWidth="1"/>
    <col min="119" max="119" width="3" style="102" customWidth="1"/>
    <col min="120" max="120" width="2.42578125" style="518" customWidth="1"/>
    <col min="121" max="121" width="5.28515625" style="518" customWidth="1"/>
    <col min="122" max="122" width="34.85546875" style="104" customWidth="1"/>
    <col min="123" max="123" width="15.5703125" style="96" customWidth="1"/>
    <col min="124" max="124" width="16.5703125" style="96" customWidth="1"/>
    <col min="125" max="125" width="16.7109375" style="96" bestFit="1" customWidth="1"/>
    <col min="126" max="126" width="17.140625" style="96" bestFit="1" customWidth="1"/>
    <col min="127" max="128" width="15.5703125" style="518" customWidth="1"/>
    <col min="129" max="130" width="17.140625" style="518" bestFit="1" customWidth="1"/>
    <col min="131" max="131" width="3" style="518" customWidth="1"/>
    <col min="132" max="132" width="3" style="102" customWidth="1"/>
    <col min="133" max="133" width="3" style="518" customWidth="1"/>
    <col min="134" max="134" width="5.28515625" style="518" customWidth="1"/>
    <col min="135" max="135" width="17.28515625" style="518" customWidth="1"/>
    <col min="136" max="143" width="15.5703125" style="518" customWidth="1"/>
    <col min="144" max="144" width="3" style="518" customWidth="1"/>
    <col min="145" max="145" width="3" style="102" customWidth="1"/>
    <col min="146" max="146" width="3" style="518" customWidth="1"/>
    <col min="147" max="147" width="4.5703125" style="518" customWidth="1"/>
    <col min="148" max="148" width="16.5703125" style="518" customWidth="1"/>
    <col min="149" max="150" width="15.5703125" style="518" bestFit="1" customWidth="1"/>
    <col min="151" max="151" width="14.7109375" style="518" bestFit="1" customWidth="1"/>
    <col min="152" max="152" width="15.5703125" style="518" bestFit="1" customWidth="1"/>
    <col min="153" max="153" width="14.42578125" style="518" customWidth="1"/>
    <col min="154" max="155" width="15.5703125" style="518" bestFit="1" customWidth="1"/>
    <col min="156" max="156" width="15.85546875" style="518" bestFit="1" customWidth="1"/>
    <col min="157" max="157" width="16.7109375" style="518" customWidth="1"/>
    <col min="158" max="158" width="22" style="518" customWidth="1"/>
    <col min="159" max="159" width="16.7109375" style="518" customWidth="1"/>
    <col min="160" max="160" width="3" style="518" customWidth="1"/>
    <col min="161" max="161" width="3" style="102" customWidth="1"/>
    <col min="162" max="162" width="3" style="518" customWidth="1"/>
    <col min="163" max="163" width="5.28515625" style="518" customWidth="1"/>
    <col min="164" max="164" width="1.28515625" style="518" customWidth="1"/>
    <col min="165" max="165" width="38.28515625" style="518" customWidth="1"/>
    <col min="166" max="167" width="15.5703125" style="518" bestFit="1" customWidth="1"/>
    <col min="168" max="168" width="15.85546875" style="518" bestFit="1" customWidth="1"/>
    <col min="169" max="169" width="17.140625" style="518" bestFit="1" customWidth="1"/>
    <col min="170" max="170" width="15" style="518" bestFit="1" customWidth="1"/>
    <col min="171" max="172" width="15.85546875" style="518" bestFit="1" customWidth="1"/>
    <col min="173" max="173" width="15.5703125" style="518" bestFit="1" customWidth="1"/>
    <col min="174" max="174" width="21.28515625" style="518" customWidth="1"/>
    <col min="175" max="175" width="3" style="518" customWidth="1"/>
    <col min="176" max="176" width="3" style="102" customWidth="1"/>
    <col min="177" max="177" width="3" style="518" customWidth="1"/>
    <col min="178" max="178" width="10.42578125" style="518" customWidth="1"/>
    <col min="179" max="179" width="34.28515625" style="518" bestFit="1" customWidth="1"/>
    <col min="180" max="180" width="13.28515625" style="518" bestFit="1" customWidth="1"/>
    <col min="181" max="181" width="13.5703125" style="518" bestFit="1" customWidth="1"/>
    <col min="182" max="183" width="15.5703125" style="518" bestFit="1" customWidth="1"/>
    <col min="184" max="184" width="11" style="518" bestFit="1" customWidth="1"/>
    <col min="185" max="185" width="13.140625" style="518" bestFit="1" customWidth="1"/>
    <col min="186" max="186" width="13.85546875" style="518" bestFit="1" customWidth="1"/>
    <col min="187" max="187" width="14.28515625" style="518" bestFit="1" customWidth="1"/>
    <col min="188" max="188" width="3" style="518" customWidth="1"/>
    <col min="189" max="189" width="3" style="102" customWidth="1"/>
    <col min="190" max="190" width="3" style="518" customWidth="1"/>
    <col min="191" max="191" width="10.42578125" style="518" customWidth="1"/>
    <col min="192" max="192" width="34.28515625" style="518" bestFit="1" customWidth="1"/>
    <col min="193" max="200" width="12.7109375" style="518" customWidth="1"/>
    <col min="201" max="201" width="3" style="518" customWidth="1"/>
    <col min="202" max="202" width="3" style="102" customWidth="1"/>
    <col min="203" max="203" width="3" style="518" customWidth="1"/>
    <col min="204" max="204" width="10.42578125" style="518" customWidth="1"/>
    <col min="205" max="205" width="27.5703125" style="518" customWidth="1"/>
    <col min="206" max="206" width="13.5703125" style="518" bestFit="1" customWidth="1"/>
    <col min="207" max="207" width="13.28515625" style="518" bestFit="1" customWidth="1"/>
    <col min="208" max="208" width="15" style="518" bestFit="1" customWidth="1"/>
    <col min="209" max="209" width="15.85546875" style="518" bestFit="1" customWidth="1"/>
    <col min="210" max="210" width="11.5703125" style="518" bestFit="1" customWidth="1"/>
    <col min="211" max="211" width="11" style="518" bestFit="1" customWidth="1"/>
    <col min="212" max="212" width="12.7109375" style="518" bestFit="1" customWidth="1"/>
    <col min="213" max="213" width="13.28515625" style="518" bestFit="1" customWidth="1"/>
    <col min="214" max="214" width="3" style="518" customWidth="1"/>
    <col min="215" max="215" width="3" style="102" customWidth="1"/>
    <col min="216" max="216" width="3" style="518" customWidth="1"/>
    <col min="217" max="217" width="5.28515625" style="518" customWidth="1"/>
    <col min="218" max="218" width="16.7109375" style="518" customWidth="1"/>
    <col min="219" max="221" width="17.28515625" style="518" customWidth="1"/>
    <col min="222" max="222" width="19.28515625" style="518" bestFit="1" customWidth="1"/>
    <col min="223" max="226" width="17.28515625" style="518" customWidth="1"/>
    <col min="227" max="227" width="3" style="518" customWidth="1"/>
    <col min="228" max="228" width="3" style="102" customWidth="1"/>
    <col min="229" max="229" width="3" style="518" customWidth="1"/>
    <col min="230" max="230" width="2.85546875" style="518" customWidth="1"/>
    <col min="231" max="231" width="5.7109375" style="518" customWidth="1"/>
    <col min="232" max="232" width="9.28515625" style="518" bestFit="1" customWidth="1"/>
    <col min="233" max="233" width="15.7109375" style="518" bestFit="1" customWidth="1"/>
    <col min="234" max="234" width="15.140625" style="518" bestFit="1" customWidth="1"/>
    <col min="235" max="235" width="24.85546875" style="518" bestFit="1" customWidth="1"/>
    <col min="236" max="236" width="26" style="518" bestFit="1" customWidth="1"/>
    <col min="237" max="237" width="8.5703125" style="518" bestFit="1" customWidth="1"/>
    <col min="238" max="238" width="10" style="518" bestFit="1" customWidth="1"/>
    <col min="239" max="241" width="10.28515625" style="518" bestFit="1" customWidth="1"/>
    <col min="242" max="242" width="4.140625" style="518" customWidth="1"/>
    <col min="243" max="243" width="4.140625" style="102" customWidth="1"/>
    <col min="244" max="244" width="4.140625" style="518" customWidth="1"/>
    <col min="245" max="245" width="5.28515625" style="518" customWidth="1"/>
    <col min="246" max="246" width="11.42578125" style="518" customWidth="1"/>
    <col min="247" max="247" width="11.85546875" style="518" customWidth="1"/>
    <col min="248" max="248" width="19.28515625" style="518" customWidth="1"/>
    <col min="249" max="249" width="15.140625" style="518" bestFit="1" customWidth="1"/>
    <col min="250" max="250" width="18.7109375" style="518" bestFit="1" customWidth="1"/>
    <col min="251" max="251" width="19" style="518" bestFit="1" customWidth="1"/>
    <col min="252" max="252" width="17.5703125" style="518" bestFit="1" customWidth="1"/>
    <col min="253" max="253" width="16.7109375" style="518" bestFit="1" customWidth="1"/>
    <col min="254" max="255" width="15.5703125" style="518" customWidth="1"/>
    <col min="256" max="256" width="16.28515625" style="518" bestFit="1" customWidth="1"/>
    <col min="257" max="257" width="15.42578125" style="518" bestFit="1" customWidth="1"/>
    <col min="258" max="258" width="4.140625" style="518" customWidth="1"/>
    <col min="259" max="259" width="4.140625" style="102" customWidth="1"/>
    <col min="260" max="260" width="4.140625" style="518" customWidth="1"/>
    <col min="261" max="261" width="5.28515625" style="518" customWidth="1"/>
    <col min="262" max="262" width="16.140625" style="518" customWidth="1"/>
    <col min="263" max="263" width="8.5703125" style="518" customWidth="1"/>
    <col min="264" max="264" width="10.28515625" style="518" customWidth="1"/>
    <col min="265" max="266" width="17.5703125" style="518" bestFit="1" customWidth="1"/>
    <col min="267" max="267" width="15.5703125" style="518" bestFit="1" customWidth="1"/>
    <col min="268" max="268" width="15.5703125" style="107" bestFit="1" customWidth="1"/>
    <col min="269" max="269" width="17.140625" style="518" bestFit="1" customWidth="1"/>
    <col min="270" max="270" width="16.140625" style="107" bestFit="1" customWidth="1"/>
    <col min="271" max="271" width="17.140625" style="518" bestFit="1" customWidth="1"/>
    <col min="272" max="272" width="16.7109375" style="518" bestFit="1" customWidth="1"/>
    <col min="273" max="273" width="15.85546875" style="518" bestFit="1" customWidth="1"/>
    <col min="274" max="274" width="15" style="518" bestFit="1" customWidth="1"/>
    <col min="275" max="276" width="15.5703125" style="518" bestFit="1" customWidth="1"/>
    <col min="277" max="278" width="15.85546875" style="518" bestFit="1" customWidth="1"/>
    <col min="279" max="279" width="15.5703125" style="518" bestFit="1" customWidth="1"/>
    <col min="280" max="280" width="17.140625" style="518" bestFit="1" customWidth="1"/>
    <col min="281" max="281" width="23" style="518" customWidth="1"/>
    <col min="282" max="282" width="27" style="518" customWidth="1"/>
    <col min="283" max="283" width="20.7109375" style="518" bestFit="1" customWidth="1"/>
    <col min="284" max="284" width="3.42578125" style="518" customWidth="1"/>
    <col min="285" max="285" width="3.42578125" style="102" customWidth="1"/>
    <col min="286" max="286" width="2.42578125" style="518" customWidth="1"/>
    <col min="287" max="287" width="6.42578125" style="518" customWidth="1"/>
    <col min="288" max="288" width="9.85546875" style="518" customWidth="1"/>
    <col min="289" max="289" width="8.85546875" style="518" bestFit="1" customWidth="1"/>
    <col min="290" max="290" width="9.85546875" style="518" customWidth="1"/>
    <col min="291" max="292" width="16.7109375" style="518" customWidth="1"/>
    <col min="293" max="293" width="8.7109375" style="518" customWidth="1"/>
    <col min="294" max="294" width="9.85546875" style="518" customWidth="1"/>
    <col min="295" max="295" width="8.85546875" style="518" bestFit="1" customWidth="1"/>
    <col min="296" max="296" width="10.42578125" style="518" customWidth="1"/>
    <col min="297" max="297" width="4.140625" style="518" customWidth="1"/>
    <col min="298" max="298" width="4.140625" style="102" customWidth="1"/>
    <col min="299" max="299" width="4.140625" style="518" customWidth="1"/>
    <col min="300" max="300" width="5.140625" style="518" customWidth="1"/>
    <col min="301" max="301" width="12.5703125" style="518" customWidth="1"/>
    <col min="302" max="302" width="12.140625" style="518" customWidth="1"/>
    <col min="303" max="305" width="13.140625" style="518" customWidth="1"/>
    <col min="306" max="307" width="19" style="518" bestFit="1" customWidth="1"/>
    <col min="308" max="308" width="16.7109375" style="518" bestFit="1" customWidth="1"/>
    <col min="309" max="309" width="18.140625" style="518" bestFit="1" customWidth="1"/>
    <col min="310" max="311" width="15.85546875" style="518" bestFit="1" customWidth="1"/>
    <col min="312" max="312" width="17.5703125" style="518" bestFit="1" customWidth="1"/>
    <col min="313" max="313" width="18.7109375" style="518" bestFit="1" customWidth="1"/>
    <col min="314" max="314" width="4.140625" style="518" customWidth="1"/>
    <col min="315" max="315" width="4.140625" style="102" customWidth="1"/>
    <col min="316" max="316" width="4.140625" style="518" customWidth="1"/>
    <col min="317" max="317" width="5.140625" style="518" customWidth="1"/>
    <col min="318" max="318" width="21.5703125" style="518" customWidth="1"/>
    <col min="319" max="319" width="11.5703125" style="518" customWidth="1"/>
    <col min="320" max="320" width="17.5703125" style="518" customWidth="1"/>
    <col min="321" max="321" width="16.7109375" style="518" bestFit="1" customWidth="1"/>
    <col min="322" max="322" width="17.5703125" style="518" bestFit="1" customWidth="1"/>
    <col min="323" max="323" width="15" style="518" customWidth="1"/>
    <col min="324" max="324" width="15" style="107" customWidth="1"/>
    <col min="325" max="325" width="15" style="518" customWidth="1"/>
    <col min="326" max="326" width="17.140625" style="107" bestFit="1" customWidth="1"/>
    <col min="327" max="327" width="15" style="107" customWidth="1"/>
    <col min="328" max="328" width="17.28515625" style="518" bestFit="1" customWidth="1"/>
    <col min="329" max="329" width="15" style="518" customWidth="1"/>
    <col min="330" max="330" width="15.85546875" style="518" bestFit="1" customWidth="1"/>
    <col min="331" max="334" width="15" style="518" customWidth="1"/>
    <col min="335" max="335" width="16.140625" style="518" bestFit="1" customWidth="1"/>
    <col min="336" max="336" width="17.140625" style="518" bestFit="1" customWidth="1"/>
    <col min="337" max="337" width="17.85546875" style="518" customWidth="1"/>
    <col min="338" max="338" width="17.5703125" style="518" bestFit="1" customWidth="1"/>
    <col min="339" max="339" width="7" style="518" customWidth="1"/>
    <col min="340" max="340" width="2.42578125" style="102" customWidth="1"/>
    <col min="341" max="342" width="6.85546875" style="518" customWidth="1"/>
    <col min="343" max="343" width="9.85546875" style="518" customWidth="1"/>
    <col min="344" max="344" width="18.85546875" style="518" customWidth="1"/>
    <col min="345" max="345" width="18.42578125" style="518" customWidth="1"/>
    <col min="346" max="346" width="18.7109375" style="518" bestFit="1" customWidth="1"/>
    <col min="347" max="347" width="17.5703125" style="518" bestFit="1" customWidth="1"/>
    <col min="348" max="348" width="17.140625" style="518" bestFit="1" customWidth="1"/>
    <col min="349" max="349" width="17.5703125" style="518" bestFit="1" customWidth="1"/>
    <col min="350" max="351" width="15.85546875" style="518" bestFit="1" customWidth="1"/>
    <col min="352" max="352" width="17.5703125" style="518" bestFit="1" customWidth="1"/>
    <col min="353" max="353" width="9.140625" style="518"/>
    <col min="354" max="354" width="2.85546875" style="102" customWidth="1"/>
    <col min="355" max="355" width="2.85546875" style="518" customWidth="1"/>
    <col min="356" max="356" width="16.5703125" style="518" customWidth="1"/>
    <col min="357" max="357" width="33.85546875" style="518" bestFit="1" customWidth="1"/>
    <col min="358" max="358" width="16.5703125" style="518" customWidth="1"/>
    <col min="359" max="359" width="2.85546875" style="518" customWidth="1"/>
    <col min="360" max="360" width="2.85546875" style="102" customWidth="1"/>
    <col min="361" max="361" width="2.85546875" style="518" customWidth="1"/>
    <col min="362" max="362" width="4.140625" style="96" customWidth="1"/>
    <col min="363" max="363" width="61.140625" style="96" customWidth="1"/>
    <col min="364" max="364" width="18.42578125" style="518" bestFit="1" customWidth="1"/>
    <col min="365" max="365" width="20.5703125" style="518" customWidth="1"/>
    <col min="366" max="366" width="17.28515625" style="518" hidden="1" customWidth="1"/>
    <col min="367" max="367" width="21.85546875" style="518" bestFit="1" customWidth="1"/>
    <col min="368" max="368" width="21.7109375" style="518" customWidth="1"/>
    <col min="369" max="369" width="4.140625" style="518" customWidth="1"/>
    <col min="370" max="370" width="2.85546875" style="102" customWidth="1"/>
    <col min="371" max="371" width="2.85546875" style="518" customWidth="1"/>
    <col min="372" max="372" width="4.7109375" style="518" bestFit="1" customWidth="1"/>
    <col min="373" max="373" width="60.7109375" style="107" bestFit="1" customWidth="1"/>
    <col min="374" max="374" width="26.140625" style="518" customWidth="1"/>
    <col min="375" max="375" width="26.85546875" style="518" bestFit="1" customWidth="1"/>
    <col min="376" max="376" width="18.42578125" style="518" bestFit="1" customWidth="1"/>
    <col min="377" max="377" width="14.28515625" style="518" customWidth="1"/>
    <col min="378" max="378" width="4.140625" style="518" customWidth="1"/>
    <col min="379" max="379" width="2.85546875" style="102" customWidth="1"/>
    <col min="380" max="380" width="2.85546875" style="518" customWidth="1"/>
    <col min="381" max="381" width="13.85546875" style="97" bestFit="1" customWidth="1"/>
    <col min="382" max="382" width="14.28515625" style="97" bestFit="1" customWidth="1"/>
    <col min="383" max="383" width="13" style="97" bestFit="1" customWidth="1"/>
    <col min="384" max="387" width="9.140625" style="97"/>
  </cols>
  <sheetData>
    <row r="1" spans="2:387" x14ac:dyDescent="0.3">
      <c r="B1" s="981" t="s">
        <v>0</v>
      </c>
      <c r="C1" s="981"/>
      <c r="D1" s="981"/>
      <c r="E1" s="981"/>
      <c r="F1" s="981"/>
      <c r="G1" s="981"/>
      <c r="H1" s="981"/>
      <c r="I1" s="981"/>
      <c r="J1" s="981"/>
      <c r="K1" s="981"/>
      <c r="L1" s="981"/>
      <c r="M1" s="981"/>
      <c r="N1" s="981"/>
      <c r="O1" s="981"/>
      <c r="P1" s="981"/>
      <c r="Q1" s="981"/>
      <c r="R1" s="981"/>
      <c r="S1" s="91"/>
      <c r="T1" s="92"/>
      <c r="U1" s="91"/>
      <c r="V1" s="91"/>
      <c r="W1" s="981" t="s">
        <v>1</v>
      </c>
      <c r="X1" s="981"/>
      <c r="Y1" s="981"/>
      <c r="Z1" s="981"/>
      <c r="AA1" s="981"/>
      <c r="AB1" s="492"/>
      <c r="AC1" s="492"/>
      <c r="AE1" s="492"/>
      <c r="AF1" s="981" t="s">
        <v>2</v>
      </c>
      <c r="AG1" s="981"/>
      <c r="AH1" s="981"/>
      <c r="AI1" s="981"/>
      <c r="AJ1" s="981"/>
      <c r="AK1" s="91"/>
      <c r="AL1" s="94"/>
      <c r="AM1" s="91"/>
      <c r="AN1" s="981" t="s">
        <v>3</v>
      </c>
      <c r="AO1" s="981"/>
      <c r="AP1" s="981"/>
      <c r="AQ1" s="981"/>
      <c r="AR1" s="981"/>
      <c r="AS1" s="981"/>
      <c r="AT1" s="981"/>
      <c r="AU1" s="981"/>
      <c r="AV1" s="981"/>
      <c r="AW1" s="981"/>
      <c r="AX1" s="981"/>
      <c r="AY1" s="981"/>
      <c r="AZ1" s="981"/>
      <c r="BA1" s="981"/>
      <c r="BB1" s="981"/>
      <c r="BC1" s="981"/>
      <c r="BD1" s="981"/>
      <c r="BE1" s="981"/>
      <c r="BF1" s="981"/>
      <c r="BG1" s="981"/>
      <c r="BH1" s="981"/>
      <c r="BI1" s="981"/>
      <c r="BJ1" s="981"/>
      <c r="BK1" s="981"/>
      <c r="BL1" s="981"/>
      <c r="BM1" s="981"/>
      <c r="BN1" s="981"/>
      <c r="BO1" s="981"/>
      <c r="BP1" s="981"/>
      <c r="BQ1" s="981"/>
      <c r="BR1" s="981"/>
      <c r="BS1" s="981"/>
      <c r="BT1" s="981"/>
      <c r="BU1" s="981"/>
      <c r="BV1" s="981"/>
      <c r="BW1" s="981"/>
      <c r="BX1" s="981"/>
      <c r="BY1" s="981"/>
      <c r="BZ1" s="981"/>
      <c r="CA1" s="981"/>
      <c r="CB1" s="981"/>
      <c r="CC1" s="981"/>
      <c r="CD1" s="981"/>
      <c r="CE1" s="981"/>
      <c r="CF1" s="981"/>
      <c r="CG1" s="981"/>
      <c r="CH1" s="91"/>
      <c r="CI1" s="92"/>
      <c r="CJ1" s="981" t="s">
        <v>4</v>
      </c>
      <c r="CK1" s="981"/>
      <c r="CL1" s="981"/>
      <c r="CM1" s="981"/>
      <c r="CN1" s="981"/>
      <c r="CO1" s="981"/>
      <c r="CP1" s="981"/>
      <c r="CQ1" s="981"/>
      <c r="CR1" s="981"/>
      <c r="CS1" s="981"/>
      <c r="CT1" s="981"/>
      <c r="CU1" s="981"/>
      <c r="CV1" s="95"/>
      <c r="CW1" s="981" t="s">
        <v>5</v>
      </c>
      <c r="CX1" s="981"/>
      <c r="CY1" s="981"/>
      <c r="CZ1" s="981"/>
      <c r="DA1" s="981"/>
      <c r="DB1" s="981"/>
      <c r="DC1" s="981"/>
      <c r="DD1" s="981"/>
      <c r="DE1" s="981"/>
      <c r="DF1" s="95"/>
      <c r="DG1" s="981" t="s">
        <v>6</v>
      </c>
      <c r="DH1" s="981"/>
      <c r="DI1" s="981"/>
      <c r="DJ1" s="981"/>
      <c r="DK1" s="981"/>
      <c r="DL1" s="981"/>
      <c r="DM1" s="981"/>
      <c r="DN1" s="981"/>
      <c r="DO1" s="94"/>
      <c r="DP1" s="981" t="s">
        <v>7</v>
      </c>
      <c r="DQ1" s="981"/>
      <c r="DR1" s="981"/>
      <c r="DS1" s="981"/>
      <c r="DT1" s="981"/>
      <c r="DU1" s="981"/>
      <c r="DV1" s="981"/>
      <c r="DW1" s="981"/>
      <c r="DX1" s="981"/>
      <c r="DY1" s="981"/>
      <c r="DZ1" s="981"/>
      <c r="EA1" s="981"/>
      <c r="EB1" s="95"/>
      <c r="ED1" s="969" t="s">
        <v>8</v>
      </c>
      <c r="EE1" s="969"/>
      <c r="EF1" s="969"/>
      <c r="EG1" s="969"/>
      <c r="EH1" s="969"/>
      <c r="EI1" s="969"/>
      <c r="EJ1" s="969"/>
      <c r="EK1" s="969"/>
      <c r="EL1" s="969"/>
      <c r="EM1" s="969"/>
      <c r="EN1" s="91"/>
      <c r="EO1" s="95"/>
      <c r="EP1" s="91"/>
      <c r="EQ1" s="969" t="s">
        <v>9</v>
      </c>
      <c r="ER1" s="969"/>
      <c r="ES1" s="969"/>
      <c r="ET1" s="969"/>
      <c r="EU1" s="969"/>
      <c r="EV1" s="969"/>
      <c r="EW1" s="969"/>
      <c r="EX1" s="969"/>
      <c r="EY1" s="969"/>
      <c r="EZ1" s="969"/>
      <c r="FA1" s="969"/>
      <c r="FB1" s="969"/>
      <c r="FC1" s="969"/>
      <c r="FD1" s="91"/>
      <c r="FE1" s="95"/>
      <c r="FF1" s="91"/>
      <c r="FG1" s="969" t="s">
        <v>10</v>
      </c>
      <c r="FH1" s="969"/>
      <c r="FI1" s="969"/>
      <c r="FJ1" s="969"/>
      <c r="FK1" s="969"/>
      <c r="FL1" s="969"/>
      <c r="FM1" s="969"/>
      <c r="FN1" s="969"/>
      <c r="FO1" s="969"/>
      <c r="FP1" s="969"/>
      <c r="FQ1" s="969"/>
      <c r="FR1" s="969"/>
      <c r="FS1" s="91"/>
      <c r="FT1" s="95"/>
      <c r="FU1" s="969" t="s">
        <v>11</v>
      </c>
      <c r="FV1" s="969"/>
      <c r="FW1" s="969"/>
      <c r="FX1" s="969"/>
      <c r="FY1" s="969"/>
      <c r="FZ1" s="969"/>
      <c r="GA1" s="969"/>
      <c r="GB1" s="969"/>
      <c r="GC1" s="969"/>
      <c r="GD1" s="969"/>
      <c r="GE1" s="969"/>
      <c r="GF1" s="969"/>
      <c r="GG1" s="92"/>
      <c r="GH1" s="969" t="s">
        <v>12</v>
      </c>
      <c r="GI1" s="969"/>
      <c r="GJ1" s="969"/>
      <c r="GK1" s="969"/>
      <c r="GL1" s="969"/>
      <c r="GM1" s="969"/>
      <c r="GN1" s="969"/>
      <c r="GO1" s="969"/>
      <c r="GP1" s="969"/>
      <c r="GQ1" s="969"/>
      <c r="GR1" s="969"/>
      <c r="GS1" s="969"/>
      <c r="GT1" s="92"/>
      <c r="GU1" s="969" t="s">
        <v>13</v>
      </c>
      <c r="GV1" s="969"/>
      <c r="GW1" s="969"/>
      <c r="GX1" s="969"/>
      <c r="GY1" s="969"/>
      <c r="GZ1" s="969"/>
      <c r="HA1" s="969"/>
      <c r="HB1" s="969"/>
      <c r="HC1" s="969"/>
      <c r="HD1" s="969"/>
      <c r="HE1" s="969"/>
      <c r="HF1" s="969"/>
      <c r="HG1" s="92"/>
      <c r="HH1" s="969" t="s">
        <v>14</v>
      </c>
      <c r="HI1" s="969"/>
      <c r="HJ1" s="969"/>
      <c r="HK1" s="969"/>
      <c r="HL1" s="969"/>
      <c r="HM1" s="969"/>
      <c r="HN1" s="969"/>
      <c r="HO1" s="969"/>
      <c r="HP1" s="969"/>
      <c r="HQ1" s="969"/>
      <c r="HR1" s="969"/>
      <c r="HS1" s="969"/>
      <c r="HT1" s="95"/>
      <c r="HV1" s="993" t="s">
        <v>15</v>
      </c>
      <c r="HW1" s="993"/>
      <c r="HX1" s="993"/>
      <c r="HY1" s="993"/>
      <c r="HZ1" s="993"/>
      <c r="IA1" s="993"/>
      <c r="IB1" s="993"/>
      <c r="IC1" s="993"/>
      <c r="ID1" s="993"/>
      <c r="IE1" s="993"/>
      <c r="IF1" s="993"/>
      <c r="IG1" s="993"/>
      <c r="II1" s="92"/>
      <c r="IJ1" s="91"/>
      <c r="IK1" s="985" t="s">
        <v>16</v>
      </c>
      <c r="IL1" s="985"/>
      <c r="IM1" s="985"/>
      <c r="IN1" s="985"/>
      <c r="IO1" s="985"/>
      <c r="IP1" s="985"/>
      <c r="IQ1" s="985"/>
      <c r="IR1" s="985"/>
      <c r="IS1" s="985"/>
      <c r="IT1" s="985"/>
      <c r="IU1" s="985"/>
      <c r="IV1" s="985"/>
      <c r="IW1" s="985"/>
      <c r="IX1" s="91"/>
      <c r="IY1" s="92"/>
      <c r="IZ1" s="91"/>
      <c r="JA1" s="969" t="s">
        <v>17</v>
      </c>
      <c r="JB1" s="969"/>
      <c r="JC1" s="969"/>
      <c r="JD1" s="969"/>
      <c r="JE1" s="969"/>
      <c r="JF1" s="969"/>
      <c r="JG1" s="969"/>
      <c r="JH1" s="969"/>
      <c r="JI1" s="969"/>
      <c r="JJ1" s="969"/>
      <c r="JK1" s="969"/>
      <c r="JL1" s="969"/>
      <c r="JM1" s="969"/>
      <c r="JN1" s="969"/>
      <c r="JO1" s="969"/>
      <c r="JP1" s="969"/>
      <c r="JQ1" s="969"/>
      <c r="JR1" s="969"/>
      <c r="JS1" s="969"/>
      <c r="JT1" s="969"/>
      <c r="JU1" s="969"/>
      <c r="JV1" s="969"/>
      <c r="JW1" s="969"/>
      <c r="JX1" s="93"/>
      <c r="JY1" s="95"/>
      <c r="JZ1" s="91"/>
      <c r="KA1" s="985" t="s">
        <v>18</v>
      </c>
      <c r="KB1" s="985"/>
      <c r="KC1" s="985"/>
      <c r="KD1" s="985"/>
      <c r="KE1" s="985"/>
      <c r="KF1" s="985"/>
      <c r="KG1" s="985"/>
      <c r="KH1" s="985"/>
      <c r="KI1" s="985"/>
      <c r="KJ1" s="985"/>
      <c r="KK1" s="702"/>
      <c r="KL1" s="703"/>
      <c r="KM1" s="702"/>
      <c r="KN1" s="985" t="s">
        <v>19</v>
      </c>
      <c r="KO1" s="985"/>
      <c r="KP1" s="985"/>
      <c r="KQ1" s="985"/>
      <c r="KR1" s="985"/>
      <c r="KS1" s="985"/>
      <c r="KT1" s="985"/>
      <c r="KU1" s="985"/>
      <c r="KV1" s="985"/>
      <c r="KW1" s="985"/>
      <c r="KX1" s="985"/>
      <c r="KY1" s="985"/>
      <c r="KZ1" s="985"/>
      <c r="LA1" s="985"/>
      <c r="LB1" s="474"/>
      <c r="LC1" s="703"/>
      <c r="LD1" s="474"/>
      <c r="LE1" s="985" t="s">
        <v>20</v>
      </c>
      <c r="LF1" s="985"/>
      <c r="LG1" s="985"/>
      <c r="LH1" s="985"/>
      <c r="LI1" s="985"/>
      <c r="LJ1" s="985"/>
      <c r="LK1" s="985"/>
      <c r="LL1" s="985"/>
      <c r="LM1" s="985"/>
      <c r="LN1" s="985"/>
      <c r="LO1" s="985"/>
      <c r="LP1" s="985"/>
      <c r="LQ1" s="985"/>
      <c r="LR1" s="985"/>
      <c r="LS1" s="985"/>
      <c r="LT1" s="985"/>
      <c r="LU1" s="985"/>
      <c r="LV1" s="985"/>
      <c r="LW1" s="985"/>
      <c r="LX1" s="985"/>
      <c r="LY1" s="985"/>
      <c r="LZ1" s="985"/>
      <c r="MA1" s="895"/>
      <c r="MB1" s="704"/>
      <c r="MC1" s="702"/>
      <c r="MD1" s="985" t="s">
        <v>21</v>
      </c>
      <c r="ME1" s="985"/>
      <c r="MF1" s="985"/>
      <c r="MG1" s="985"/>
      <c r="MH1" s="985"/>
      <c r="MI1" s="985"/>
      <c r="MJ1" s="985"/>
      <c r="MK1" s="985"/>
      <c r="ML1" s="985"/>
      <c r="MM1" s="985"/>
      <c r="MN1" s="985"/>
      <c r="MO1" s="492"/>
      <c r="MP1" s="705"/>
      <c r="MQ1" s="492"/>
      <c r="MR1" s="985" t="s">
        <v>22</v>
      </c>
      <c r="MS1" s="985"/>
      <c r="MT1" s="985"/>
      <c r="MU1" s="492"/>
      <c r="MV1" s="705"/>
      <c r="MW1" s="492"/>
      <c r="MX1" s="987" t="s">
        <v>23</v>
      </c>
      <c r="MY1" s="987"/>
      <c r="MZ1" s="987"/>
      <c r="NA1" s="987"/>
      <c r="NB1" s="987"/>
      <c r="NC1" s="987"/>
      <c r="ND1" s="987"/>
      <c r="NE1" s="492"/>
      <c r="NF1" s="705"/>
      <c r="NG1" s="492"/>
      <c r="NH1" s="984" t="s">
        <v>24</v>
      </c>
      <c r="NI1" s="984"/>
      <c r="NJ1" s="984"/>
      <c r="NK1" s="984"/>
      <c r="NL1" s="984"/>
      <c r="NM1" s="984"/>
      <c r="NN1" s="492"/>
      <c r="NO1" s="705"/>
      <c r="NP1" s="492"/>
    </row>
    <row r="2" spans="2:387" x14ac:dyDescent="0.3">
      <c r="B2" s="99"/>
      <c r="C2" s="100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01"/>
      <c r="AK2" s="101"/>
      <c r="AM2" s="93"/>
      <c r="AO2" s="93"/>
      <c r="AP2" s="93"/>
      <c r="AQ2" s="93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1"/>
      <c r="EN2" s="105"/>
      <c r="EO2" s="106"/>
      <c r="FD2" s="105"/>
      <c r="FE2" s="106"/>
      <c r="FS2" s="93"/>
      <c r="GF2" s="93"/>
      <c r="GG2" s="95"/>
      <c r="GS2" s="93"/>
      <c r="GT2" s="95"/>
      <c r="HF2" s="93"/>
      <c r="HG2" s="95"/>
      <c r="HV2" s="993"/>
      <c r="HW2" s="993"/>
      <c r="HX2" s="993"/>
      <c r="HY2" s="993"/>
      <c r="HZ2" s="993"/>
      <c r="IA2" s="993"/>
      <c r="IB2" s="993"/>
      <c r="IC2" s="993"/>
      <c r="ID2" s="993"/>
      <c r="IE2" s="993"/>
      <c r="IF2" s="993"/>
      <c r="IG2" s="993"/>
      <c r="IH2" s="93"/>
      <c r="IK2" s="985"/>
      <c r="IL2" s="985"/>
      <c r="IM2" s="985"/>
      <c r="IN2" s="985"/>
      <c r="IO2" s="985"/>
      <c r="IP2" s="985"/>
      <c r="IQ2" s="985"/>
      <c r="IR2" s="985"/>
      <c r="IS2" s="985"/>
      <c r="IT2" s="985"/>
      <c r="IU2" s="985"/>
      <c r="IV2" s="985"/>
      <c r="IW2" s="985"/>
      <c r="JZ2" s="108"/>
      <c r="KA2" s="986"/>
      <c r="KB2" s="986"/>
      <c r="KC2" s="986"/>
      <c r="KD2" s="986"/>
      <c r="KE2" s="986"/>
      <c r="KF2" s="986"/>
      <c r="KG2" s="986"/>
      <c r="KH2" s="986"/>
      <c r="KI2" s="986"/>
      <c r="KJ2" s="986"/>
      <c r="KK2" s="702"/>
      <c r="KL2" s="706"/>
      <c r="KM2" s="702"/>
      <c r="KN2" s="985"/>
      <c r="KO2" s="985"/>
      <c r="KP2" s="985"/>
      <c r="KQ2" s="985"/>
      <c r="KR2" s="985"/>
      <c r="KS2" s="985"/>
      <c r="KT2" s="985"/>
      <c r="KU2" s="985"/>
      <c r="KV2" s="985"/>
      <c r="KW2" s="985"/>
      <c r="KX2" s="985"/>
      <c r="KY2" s="985"/>
      <c r="KZ2" s="985"/>
      <c r="LA2" s="985"/>
      <c r="LB2" s="707"/>
      <c r="LC2" s="708"/>
      <c r="LD2" s="707"/>
      <c r="LE2" s="985"/>
      <c r="LF2" s="985"/>
      <c r="LG2" s="985"/>
      <c r="LH2" s="985"/>
      <c r="LI2" s="985"/>
      <c r="LJ2" s="985"/>
      <c r="LK2" s="985"/>
      <c r="LL2" s="985"/>
      <c r="LM2" s="985"/>
      <c r="LN2" s="985"/>
      <c r="LO2" s="985"/>
      <c r="LP2" s="985"/>
      <c r="LQ2" s="985"/>
      <c r="LR2" s="985"/>
      <c r="LS2" s="985"/>
      <c r="LT2" s="985"/>
      <c r="LU2" s="985"/>
      <c r="LV2" s="985"/>
      <c r="LW2" s="985"/>
      <c r="LX2" s="985"/>
      <c r="LY2" s="985"/>
      <c r="LZ2" s="985"/>
      <c r="MA2" s="709"/>
      <c r="MB2" s="710"/>
      <c r="MC2" s="702"/>
      <c r="MD2" s="985"/>
      <c r="ME2" s="985"/>
      <c r="MF2" s="985"/>
      <c r="MG2" s="985"/>
      <c r="MH2" s="985"/>
      <c r="MI2" s="985"/>
      <c r="MJ2" s="985"/>
      <c r="MK2" s="985"/>
      <c r="ML2" s="985"/>
      <c r="MM2" s="985"/>
      <c r="MN2" s="985"/>
      <c r="MO2" s="702"/>
      <c r="MP2" s="703"/>
      <c r="MQ2" s="474"/>
      <c r="MR2" s="985"/>
      <c r="MS2" s="985"/>
      <c r="MT2" s="985"/>
      <c r="MU2" s="474"/>
      <c r="MV2" s="703"/>
      <c r="MW2" s="474"/>
      <c r="MX2" s="987"/>
      <c r="MY2" s="987"/>
      <c r="MZ2" s="987"/>
      <c r="NA2" s="987"/>
      <c r="NB2" s="987"/>
      <c r="NC2" s="987"/>
      <c r="ND2" s="987"/>
      <c r="NE2" s="702"/>
      <c r="NF2" s="703"/>
      <c r="NG2" s="474"/>
      <c r="NH2" s="984"/>
      <c r="NI2" s="984"/>
      <c r="NJ2" s="984"/>
      <c r="NK2" s="984"/>
      <c r="NL2" s="984"/>
      <c r="NM2" s="984"/>
      <c r="NN2" s="702"/>
      <c r="NO2" s="703"/>
      <c r="NP2" s="474"/>
    </row>
    <row r="3" spans="2:387" ht="16.5" customHeight="1" x14ac:dyDescent="0.3">
      <c r="B3" s="89"/>
      <c r="C3" s="89"/>
      <c r="D3" s="89"/>
      <c r="E3" s="89"/>
      <c r="F3" s="988" t="s">
        <v>25</v>
      </c>
      <c r="G3" s="989"/>
      <c r="H3" s="988" t="s">
        <v>26</v>
      </c>
      <c r="I3" s="990"/>
      <c r="J3" s="989"/>
      <c r="K3" s="988" t="s">
        <v>27</v>
      </c>
      <c r="L3" s="990"/>
      <c r="M3" s="989"/>
      <c r="N3" s="988" t="s">
        <v>28</v>
      </c>
      <c r="O3" s="990"/>
      <c r="P3" s="989"/>
      <c r="Q3" s="988" t="s">
        <v>29</v>
      </c>
      <c r="R3" s="990"/>
      <c r="S3" s="111"/>
      <c r="T3" s="112"/>
      <c r="U3" s="113"/>
      <c r="V3" s="114"/>
      <c r="W3" s="114"/>
      <c r="X3" s="114"/>
      <c r="Y3" s="114"/>
      <c r="Z3" s="114"/>
      <c r="AA3" s="114"/>
      <c r="AD3" s="112"/>
      <c r="AF3" s="114"/>
      <c r="AG3" s="114"/>
      <c r="AH3" s="114"/>
      <c r="AI3" s="114"/>
      <c r="AJ3" s="114"/>
      <c r="AK3" s="115"/>
      <c r="AN3" s="116"/>
      <c r="AO3" s="117"/>
      <c r="AP3" s="118"/>
      <c r="AQ3" s="117"/>
      <c r="AR3" s="119"/>
      <c r="AS3" s="991" t="s">
        <v>30</v>
      </c>
      <c r="AT3" s="992"/>
      <c r="AU3" s="117"/>
      <c r="AV3" s="991" t="s">
        <v>31</v>
      </c>
      <c r="AW3" s="992"/>
      <c r="AX3" s="992"/>
      <c r="AY3" s="117"/>
      <c r="AZ3" s="991" t="s">
        <v>32</v>
      </c>
      <c r="BA3" s="992"/>
      <c r="BB3" s="992"/>
      <c r="BC3" s="117"/>
      <c r="BD3" s="991" t="s">
        <v>33</v>
      </c>
      <c r="BE3" s="992"/>
      <c r="BF3" s="992"/>
      <c r="BG3" s="117"/>
      <c r="BH3" s="991" t="s">
        <v>34</v>
      </c>
      <c r="BI3" s="992"/>
      <c r="BJ3" s="992"/>
      <c r="BK3" s="117"/>
      <c r="BL3" s="991" t="s">
        <v>35</v>
      </c>
      <c r="BM3" s="992"/>
      <c r="BN3" s="992"/>
      <c r="BO3" s="117"/>
      <c r="BP3" s="991" t="s">
        <v>36</v>
      </c>
      <c r="BQ3" s="992"/>
      <c r="BR3" s="992"/>
      <c r="BS3" s="117"/>
      <c r="BT3" s="991" t="s">
        <v>37</v>
      </c>
      <c r="BU3" s="992"/>
      <c r="BV3" s="992"/>
      <c r="BW3" s="992" t="s">
        <v>38</v>
      </c>
      <c r="BX3" s="992"/>
      <c r="BY3" s="994"/>
      <c r="BZ3" s="991" t="s">
        <v>39</v>
      </c>
      <c r="CA3" s="992"/>
      <c r="CB3" s="994"/>
      <c r="CC3" s="991" t="s">
        <v>25</v>
      </c>
      <c r="CD3" s="992"/>
      <c r="CE3" s="994"/>
      <c r="CF3" s="966" t="s">
        <v>40</v>
      </c>
      <c r="CG3" s="968"/>
      <c r="CK3" s="120"/>
      <c r="CL3" s="121"/>
      <c r="CM3" s="973" t="str">
        <f>F3</f>
        <v>2022 Fiscal Year As Accepted</v>
      </c>
      <c r="CN3" s="974"/>
      <c r="CO3" s="974"/>
      <c r="CP3" s="975"/>
      <c r="CQ3" s="973" t="str">
        <f>H3</f>
        <v>2022 Fiscal Year As Adjusted</v>
      </c>
      <c r="CR3" s="974"/>
      <c r="CS3" s="974"/>
      <c r="CT3" s="975"/>
      <c r="CU3" s="101"/>
      <c r="CX3" s="117"/>
      <c r="CY3" s="122"/>
      <c r="CZ3" s="973" t="str">
        <f>CM3</f>
        <v>2022 Fiscal Year As Accepted</v>
      </c>
      <c r="DA3" s="975"/>
      <c r="DB3" s="973" t="str">
        <f>CQ3</f>
        <v>2022 Fiscal Year As Adjusted</v>
      </c>
      <c r="DC3" s="974"/>
      <c r="DD3" s="975"/>
      <c r="DH3" s="123"/>
      <c r="DI3" s="124"/>
      <c r="DJ3" s="973" t="str">
        <f>CZ3</f>
        <v>2022 Fiscal Year As Accepted</v>
      </c>
      <c r="DK3" s="975"/>
      <c r="DL3" s="973" t="str">
        <f>DB3</f>
        <v>2022 Fiscal Year As Adjusted</v>
      </c>
      <c r="DM3" s="975"/>
      <c r="DQ3" s="117"/>
      <c r="DR3" s="125"/>
      <c r="DS3" s="992" t="str">
        <f>CZ3</f>
        <v>2022 Fiscal Year As Accepted</v>
      </c>
      <c r="DT3" s="992"/>
      <c r="DU3" s="992"/>
      <c r="DV3" s="994"/>
      <c r="DW3" s="991" t="str">
        <f>DB3</f>
        <v>2022 Fiscal Year As Adjusted</v>
      </c>
      <c r="DX3" s="992"/>
      <c r="DY3" s="992"/>
      <c r="DZ3" s="994"/>
      <c r="EB3" s="126"/>
      <c r="ED3" s="117"/>
      <c r="EE3" s="117"/>
      <c r="EF3" s="991" t="str">
        <f>DS3</f>
        <v>2022 Fiscal Year As Accepted</v>
      </c>
      <c r="EG3" s="992"/>
      <c r="EH3" s="992"/>
      <c r="EI3" s="994"/>
      <c r="EJ3" s="991" t="str">
        <f>DW3</f>
        <v>2022 Fiscal Year As Adjusted</v>
      </c>
      <c r="EK3" s="992"/>
      <c r="EL3" s="992"/>
      <c r="EM3" s="994"/>
      <c r="EN3" s="101"/>
      <c r="EO3" s="127"/>
      <c r="EQ3" s="117"/>
      <c r="ER3" s="119"/>
      <c r="ES3" s="991" t="str">
        <f>EF3</f>
        <v>2022 Fiscal Year As Accepted</v>
      </c>
      <c r="ET3" s="992"/>
      <c r="EU3" s="992"/>
      <c r="EV3" s="994"/>
      <c r="EW3" s="991" t="str">
        <f>EJ3</f>
        <v>2022 Fiscal Year As Adjusted</v>
      </c>
      <c r="EX3" s="992"/>
      <c r="EY3" s="992"/>
      <c r="EZ3" s="994"/>
      <c r="FA3" s="991" t="s">
        <v>41</v>
      </c>
      <c r="FB3" s="992"/>
      <c r="FC3" s="994"/>
      <c r="FD3" s="101"/>
      <c r="FE3" s="127"/>
      <c r="FG3" s="117"/>
      <c r="FH3" s="117"/>
      <c r="FI3" s="117"/>
      <c r="FJ3" s="995" t="str">
        <f>EF3</f>
        <v>2022 Fiscal Year As Accepted</v>
      </c>
      <c r="FK3" s="996"/>
      <c r="FL3" s="996"/>
      <c r="FM3" s="997"/>
      <c r="FN3" s="995" t="str">
        <f>EJ3</f>
        <v>2022 Fiscal Year As Adjusted</v>
      </c>
      <c r="FO3" s="996"/>
      <c r="FP3" s="996"/>
      <c r="FQ3" s="996"/>
      <c r="FR3" s="997"/>
      <c r="FS3" s="93"/>
      <c r="FT3" s="95"/>
      <c r="FV3" s="116"/>
      <c r="FW3" s="117"/>
      <c r="FX3" s="973" t="str">
        <f>FJ3</f>
        <v>2022 Fiscal Year As Accepted</v>
      </c>
      <c r="FY3" s="974"/>
      <c r="FZ3" s="974"/>
      <c r="GA3" s="975"/>
      <c r="GB3" s="973" t="str">
        <f>FN3</f>
        <v>2022 Fiscal Year As Adjusted</v>
      </c>
      <c r="GC3" s="974"/>
      <c r="GD3" s="974"/>
      <c r="GE3" s="975"/>
      <c r="GF3" s="101"/>
      <c r="GG3" s="128"/>
      <c r="GI3" s="116"/>
      <c r="GJ3" s="117"/>
      <c r="GK3" s="973" t="str">
        <f>FX3</f>
        <v>2022 Fiscal Year As Accepted</v>
      </c>
      <c r="GL3" s="974"/>
      <c r="GM3" s="974"/>
      <c r="GN3" s="975"/>
      <c r="GO3" s="973" t="str">
        <f>GB3</f>
        <v>2022 Fiscal Year As Adjusted</v>
      </c>
      <c r="GP3" s="974"/>
      <c r="GQ3" s="974"/>
      <c r="GR3" s="974"/>
      <c r="GS3" s="101"/>
      <c r="GT3" s="128"/>
      <c r="GV3" s="116"/>
      <c r="GW3" s="117"/>
      <c r="GX3" s="995" t="str">
        <f>FJ3</f>
        <v>2022 Fiscal Year As Accepted</v>
      </c>
      <c r="GY3" s="996"/>
      <c r="GZ3" s="996"/>
      <c r="HA3" s="997"/>
      <c r="HB3" s="973" t="str">
        <f>FN3</f>
        <v>2022 Fiscal Year As Adjusted</v>
      </c>
      <c r="HC3" s="974"/>
      <c r="HD3" s="974"/>
      <c r="HE3" s="975"/>
      <c r="HF3" s="101"/>
      <c r="HG3" s="128"/>
      <c r="HI3" s="117"/>
      <c r="HJ3" s="117"/>
      <c r="HK3" s="970" t="str">
        <f>GX3</f>
        <v>2022 Fiscal Year As Accepted</v>
      </c>
      <c r="HL3" s="971"/>
      <c r="HM3" s="971"/>
      <c r="HN3" s="972"/>
      <c r="HO3" s="970" t="str">
        <f>HB3</f>
        <v>2022 Fiscal Year As Adjusted</v>
      </c>
      <c r="HP3" s="971"/>
      <c r="HQ3" s="971"/>
      <c r="HR3" s="972"/>
      <c r="HV3" s="101"/>
      <c r="HW3" s="129"/>
      <c r="HX3" s="130"/>
      <c r="HY3" s="130"/>
      <c r="HZ3" s="130"/>
      <c r="IA3" s="130"/>
      <c r="IB3" s="130"/>
      <c r="IC3" s="131"/>
      <c r="ID3" s="130"/>
      <c r="IE3" s="130"/>
      <c r="IF3" s="130"/>
      <c r="IG3" s="130"/>
      <c r="IH3" s="132"/>
      <c r="IJ3" s="132"/>
      <c r="IK3" s="897"/>
      <c r="IL3" s="133"/>
      <c r="IM3" s="133"/>
      <c r="IN3" s="966" t="s">
        <v>42</v>
      </c>
      <c r="IO3" s="967"/>
      <c r="IP3" s="966" t="s">
        <v>43</v>
      </c>
      <c r="IQ3" s="967"/>
      <c r="IR3" s="966" t="s">
        <v>44</v>
      </c>
      <c r="IS3" s="967"/>
      <c r="IT3" s="966" t="s">
        <v>45</v>
      </c>
      <c r="IU3" s="967"/>
      <c r="IV3" s="966" t="s">
        <v>46</v>
      </c>
      <c r="IW3" s="968"/>
      <c r="IX3" s="109"/>
      <c r="IY3" s="110"/>
      <c r="IZ3" s="109"/>
      <c r="JA3" s="117"/>
      <c r="JB3" s="134"/>
      <c r="JC3" s="134"/>
      <c r="JD3" s="134"/>
      <c r="JE3" s="978" t="s">
        <v>47</v>
      </c>
      <c r="JF3" s="979"/>
      <c r="JG3" s="978" t="s">
        <v>48</v>
      </c>
      <c r="JH3" s="979"/>
      <c r="JI3" s="978" t="s">
        <v>49</v>
      </c>
      <c r="JJ3" s="979"/>
      <c r="JK3" s="978" t="s">
        <v>50</v>
      </c>
      <c r="JL3" s="979"/>
      <c r="JM3" s="978" t="s">
        <v>51</v>
      </c>
      <c r="JN3" s="979"/>
      <c r="JO3" s="978" t="s">
        <v>52</v>
      </c>
      <c r="JP3" s="979"/>
      <c r="JQ3" s="978" t="s">
        <v>53</v>
      </c>
      <c r="JR3" s="979"/>
      <c r="JS3" s="978" t="s">
        <v>54</v>
      </c>
      <c r="JT3" s="979"/>
      <c r="JU3" s="978" t="s">
        <v>55</v>
      </c>
      <c r="JV3" s="980"/>
      <c r="JW3" s="980"/>
      <c r="JX3" s="132"/>
      <c r="JY3" s="135"/>
      <c r="JZ3" s="108"/>
      <c r="KA3" s="136"/>
      <c r="KB3" s="137"/>
      <c r="KC3" s="137"/>
      <c r="KD3" s="137"/>
      <c r="KE3" s="137"/>
      <c r="KF3" s="137"/>
      <c r="KG3" s="137"/>
      <c r="KH3" s="137"/>
      <c r="KI3" s="137"/>
      <c r="KJ3" s="137"/>
      <c r="KK3" s="109"/>
      <c r="KL3" s="110"/>
      <c r="KM3" s="138"/>
      <c r="KN3" s="139"/>
      <c r="KO3" s="133"/>
      <c r="KP3" s="133"/>
      <c r="KQ3" s="140"/>
      <c r="KR3" s="966" t="s">
        <v>42</v>
      </c>
      <c r="KS3" s="967"/>
      <c r="KT3" s="966" t="s">
        <v>43</v>
      </c>
      <c r="KU3" s="967"/>
      <c r="KV3" s="966" t="s">
        <v>56</v>
      </c>
      <c r="KW3" s="967"/>
      <c r="KX3" s="966" t="s">
        <v>57</v>
      </c>
      <c r="KY3" s="967"/>
      <c r="KZ3" s="966" t="s">
        <v>46</v>
      </c>
      <c r="LA3" s="968"/>
      <c r="LB3" s="138"/>
      <c r="LC3" s="141"/>
      <c r="LD3" s="138"/>
      <c r="LE3" s="142"/>
      <c r="LF3" s="133"/>
      <c r="LG3" s="133"/>
      <c r="LH3" s="133"/>
      <c r="LI3" s="966" t="s">
        <v>47</v>
      </c>
      <c r="LJ3" s="967"/>
      <c r="LK3" s="966" t="s">
        <v>58</v>
      </c>
      <c r="LL3" s="967"/>
      <c r="LM3" s="966" t="s">
        <v>49</v>
      </c>
      <c r="LN3" s="967"/>
      <c r="LO3" s="966" t="s">
        <v>50</v>
      </c>
      <c r="LP3" s="967"/>
      <c r="LQ3" s="966" t="s">
        <v>51</v>
      </c>
      <c r="LR3" s="967"/>
      <c r="LS3" s="966" t="s">
        <v>52</v>
      </c>
      <c r="LT3" s="967"/>
      <c r="LU3" s="966" t="s">
        <v>53</v>
      </c>
      <c r="LV3" s="967"/>
      <c r="LW3" s="966" t="s">
        <v>54</v>
      </c>
      <c r="LX3" s="967"/>
      <c r="LY3" s="966" t="s">
        <v>59</v>
      </c>
      <c r="LZ3" s="968"/>
      <c r="MA3" s="108"/>
      <c r="MB3" s="143"/>
      <c r="MD3" s="117"/>
      <c r="ME3" s="896"/>
      <c r="MF3" s="966" t="s">
        <v>46</v>
      </c>
      <c r="MG3" s="968"/>
      <c r="MH3" s="967"/>
      <c r="MI3" s="966" t="s">
        <v>60</v>
      </c>
      <c r="MJ3" s="968"/>
      <c r="MK3" s="967"/>
      <c r="ML3" s="966" t="s">
        <v>61</v>
      </c>
      <c r="MM3" s="968"/>
      <c r="MN3" s="967"/>
      <c r="MP3" s="95"/>
      <c r="MQ3" s="93"/>
      <c r="MR3" s="144"/>
      <c r="MS3" s="144"/>
      <c r="MT3" s="144"/>
      <c r="MU3" s="93"/>
      <c r="MV3" s="95"/>
      <c r="MW3" s="93"/>
      <c r="MX3" s="145"/>
      <c r="MY3" s="145"/>
      <c r="MZ3" s="114"/>
      <c r="NA3" s="114"/>
      <c r="NB3" s="114"/>
      <c r="NC3" s="114"/>
      <c r="ND3" s="114"/>
      <c r="NF3" s="95"/>
      <c r="NG3" s="93"/>
      <c r="NH3" s="145"/>
      <c r="NI3" s="114"/>
      <c r="NJ3" s="114"/>
      <c r="NK3" s="114"/>
      <c r="NL3" s="114"/>
      <c r="NM3" s="114"/>
      <c r="NO3" s="95"/>
      <c r="NP3" s="93"/>
    </row>
    <row r="4" spans="2:387" ht="49.5" customHeight="1" x14ac:dyDescent="0.3">
      <c r="B4" s="147"/>
      <c r="C4" s="148"/>
      <c r="D4" s="148"/>
      <c r="E4" s="148"/>
      <c r="F4" s="90" t="s">
        <v>62</v>
      </c>
      <c r="G4" s="149" t="s">
        <v>63</v>
      </c>
      <c r="H4" s="90" t="s">
        <v>62</v>
      </c>
      <c r="I4" s="150" t="s">
        <v>63</v>
      </c>
      <c r="J4" s="149" t="s">
        <v>64</v>
      </c>
      <c r="K4" s="90" t="s">
        <v>62</v>
      </c>
      <c r="L4" s="150" t="s">
        <v>63</v>
      </c>
      <c r="M4" s="149" t="s">
        <v>65</v>
      </c>
      <c r="N4" s="90" t="s">
        <v>62</v>
      </c>
      <c r="O4" s="150" t="s">
        <v>63</v>
      </c>
      <c r="P4" s="149" t="s">
        <v>66</v>
      </c>
      <c r="Q4" s="151" t="s">
        <v>67</v>
      </c>
      <c r="R4" s="150" t="s">
        <v>68</v>
      </c>
      <c r="S4" s="132"/>
      <c r="T4" s="152"/>
      <c r="U4" s="153"/>
      <c r="V4" s="154"/>
      <c r="W4" s="154"/>
      <c r="X4" s="155" t="s">
        <v>69</v>
      </c>
      <c r="Y4" s="155" t="s">
        <v>70</v>
      </c>
      <c r="Z4" s="155" t="s">
        <v>71</v>
      </c>
      <c r="AA4" s="155" t="s">
        <v>72</v>
      </c>
      <c r="AB4" s="156"/>
      <c r="AC4" s="146"/>
      <c r="AD4" s="152"/>
      <c r="AE4" s="146"/>
      <c r="AF4" s="148"/>
      <c r="AG4" s="148"/>
      <c r="AH4" s="147" t="str">
        <f>D14</f>
        <v>Direct Labour</v>
      </c>
      <c r="AI4" s="147" t="str">
        <f>D15</f>
        <v>Collector Labour</v>
      </c>
      <c r="AJ4" s="147" t="str">
        <f>D16</f>
        <v>Overhead Labour</v>
      </c>
      <c r="AK4" s="153"/>
      <c r="AL4" s="152"/>
      <c r="AM4" s="146"/>
      <c r="AN4" s="155"/>
      <c r="AO4" s="158"/>
      <c r="AP4" s="158"/>
      <c r="AQ4" s="158"/>
      <c r="AR4" s="158"/>
      <c r="AS4" s="159" t="s">
        <v>62</v>
      </c>
      <c r="AT4" s="160" t="s">
        <v>73</v>
      </c>
      <c r="AU4" s="155"/>
      <c r="AV4" s="159" t="s">
        <v>62</v>
      </c>
      <c r="AW4" s="160" t="s">
        <v>73</v>
      </c>
      <c r="AX4" s="160" t="s">
        <v>74</v>
      </c>
      <c r="AY4" s="155"/>
      <c r="AZ4" s="159" t="s">
        <v>62</v>
      </c>
      <c r="BA4" s="160" t="s">
        <v>73</v>
      </c>
      <c r="BB4" s="160" t="s">
        <v>74</v>
      </c>
      <c r="BC4" s="155"/>
      <c r="BD4" s="159" t="s">
        <v>62</v>
      </c>
      <c r="BE4" s="160" t="s">
        <v>73</v>
      </c>
      <c r="BF4" s="160" t="s">
        <v>74</v>
      </c>
      <c r="BG4" s="155"/>
      <c r="BH4" s="159" t="s">
        <v>62</v>
      </c>
      <c r="BI4" s="160" t="s">
        <v>73</v>
      </c>
      <c r="BJ4" s="160" t="s">
        <v>74</v>
      </c>
      <c r="BK4" s="155"/>
      <c r="BL4" s="159" t="s">
        <v>62</v>
      </c>
      <c r="BM4" s="160" t="s">
        <v>73</v>
      </c>
      <c r="BN4" s="160" t="s">
        <v>74</v>
      </c>
      <c r="BO4" s="155"/>
      <c r="BP4" s="159" t="s">
        <v>62</v>
      </c>
      <c r="BQ4" s="160" t="s">
        <v>73</v>
      </c>
      <c r="BR4" s="160" t="s">
        <v>74</v>
      </c>
      <c r="BS4" s="155"/>
      <c r="BT4" s="159" t="s">
        <v>62</v>
      </c>
      <c r="BU4" s="160" t="s">
        <v>73</v>
      </c>
      <c r="BV4" s="160" t="s">
        <v>75</v>
      </c>
      <c r="BW4" s="159" t="s">
        <v>62</v>
      </c>
      <c r="BX4" s="160" t="s">
        <v>73</v>
      </c>
      <c r="BY4" s="160" t="s">
        <v>75</v>
      </c>
      <c r="BZ4" s="159" t="s">
        <v>62</v>
      </c>
      <c r="CA4" s="160" t="s">
        <v>73</v>
      </c>
      <c r="CB4" s="160" t="s">
        <v>75</v>
      </c>
      <c r="CC4" s="159" t="s">
        <v>62</v>
      </c>
      <c r="CD4" s="160" t="s">
        <v>73</v>
      </c>
      <c r="CE4" s="160" t="s">
        <v>75</v>
      </c>
      <c r="CF4" s="161" t="s">
        <v>76</v>
      </c>
      <c r="CG4" s="160" t="s">
        <v>77</v>
      </c>
      <c r="CH4" s="146"/>
      <c r="CI4" s="157"/>
      <c r="CJ4" s="146"/>
      <c r="CK4" s="162"/>
      <c r="CL4" s="163"/>
      <c r="CM4" s="164" t="s">
        <v>78</v>
      </c>
      <c r="CN4" s="165" t="s">
        <v>79</v>
      </c>
      <c r="CO4" s="147" t="s">
        <v>80</v>
      </c>
      <c r="CP4" s="166" t="s">
        <v>72</v>
      </c>
      <c r="CQ4" s="164" t="s">
        <v>78</v>
      </c>
      <c r="CR4" s="165" t="s">
        <v>79</v>
      </c>
      <c r="CS4" s="147" t="s">
        <v>80</v>
      </c>
      <c r="CT4" s="166" t="s">
        <v>72</v>
      </c>
      <c r="CU4" s="167"/>
      <c r="CV4" s="157"/>
      <c r="CW4" s="146"/>
      <c r="CX4" s="147"/>
      <c r="CY4" s="165" t="s">
        <v>81</v>
      </c>
      <c r="CZ4" s="164" t="s">
        <v>82</v>
      </c>
      <c r="DA4" s="168" t="s">
        <v>83</v>
      </c>
      <c r="DB4" s="164" t="s">
        <v>82</v>
      </c>
      <c r="DC4" s="169" t="s">
        <v>83</v>
      </c>
      <c r="DD4" s="170" t="s">
        <v>84</v>
      </c>
      <c r="DE4" s="146"/>
      <c r="DF4" s="157"/>
      <c r="DG4" s="146"/>
      <c r="DH4" s="147"/>
      <c r="DI4" s="165" t="s">
        <v>81</v>
      </c>
      <c r="DJ4" s="164" t="s">
        <v>82</v>
      </c>
      <c r="DK4" s="168" t="s">
        <v>83</v>
      </c>
      <c r="DL4" s="164" t="s">
        <v>82</v>
      </c>
      <c r="DM4" s="168" t="s">
        <v>83</v>
      </c>
      <c r="DN4" s="146"/>
      <c r="DO4" s="157"/>
      <c r="DP4" s="146"/>
      <c r="DQ4" s="147"/>
      <c r="DR4" s="171"/>
      <c r="DS4" s="147" t="s">
        <v>69</v>
      </c>
      <c r="DT4" s="147" t="s">
        <v>70</v>
      </c>
      <c r="DU4" s="147" t="s">
        <v>71</v>
      </c>
      <c r="DV4" s="172" t="s">
        <v>72</v>
      </c>
      <c r="DW4" s="164" t="s">
        <v>69</v>
      </c>
      <c r="DX4" s="147" t="s">
        <v>70</v>
      </c>
      <c r="DY4" s="147" t="s">
        <v>71</v>
      </c>
      <c r="DZ4" s="173" t="s">
        <v>72</v>
      </c>
      <c r="EA4" s="174"/>
      <c r="EB4" s="157"/>
      <c r="EC4" s="146"/>
      <c r="ED4" s="148"/>
      <c r="EE4" s="148"/>
      <c r="EF4" s="175" t="s">
        <v>69</v>
      </c>
      <c r="EG4" s="176" t="s">
        <v>70</v>
      </c>
      <c r="EH4" s="176" t="s">
        <v>71</v>
      </c>
      <c r="EI4" s="177" t="s">
        <v>72</v>
      </c>
      <c r="EJ4" s="175" t="s">
        <v>69</v>
      </c>
      <c r="EK4" s="176" t="s">
        <v>70</v>
      </c>
      <c r="EL4" s="176" t="s">
        <v>71</v>
      </c>
      <c r="EM4" s="177" t="s">
        <v>72</v>
      </c>
      <c r="EN4" s="178"/>
      <c r="EO4" s="179"/>
      <c r="EP4" s="146"/>
      <c r="EQ4" s="148"/>
      <c r="ER4" s="180"/>
      <c r="ES4" s="176" t="s">
        <v>69</v>
      </c>
      <c r="ET4" s="176" t="s">
        <v>70</v>
      </c>
      <c r="EU4" s="176" t="s">
        <v>71</v>
      </c>
      <c r="EV4" s="177" t="s">
        <v>72</v>
      </c>
      <c r="EW4" s="176" t="s">
        <v>69</v>
      </c>
      <c r="EX4" s="176" t="s">
        <v>70</v>
      </c>
      <c r="EY4" s="176" t="s">
        <v>71</v>
      </c>
      <c r="EZ4" s="177" t="s">
        <v>72</v>
      </c>
      <c r="FA4" s="181" t="s">
        <v>85</v>
      </c>
      <c r="FB4" s="181" t="s">
        <v>86</v>
      </c>
      <c r="FC4" s="182" t="s">
        <v>87</v>
      </c>
      <c r="FD4" s="178"/>
      <c r="FE4" s="179"/>
      <c r="FF4" s="146"/>
      <c r="FG4" s="158"/>
      <c r="FH4" s="158"/>
      <c r="FI4" s="183"/>
      <c r="FJ4" s="164" t="s">
        <v>69</v>
      </c>
      <c r="FK4" s="147" t="s">
        <v>70</v>
      </c>
      <c r="FL4" s="147" t="s">
        <v>71</v>
      </c>
      <c r="FM4" s="184" t="s">
        <v>72</v>
      </c>
      <c r="FN4" s="164" t="str">
        <f>FJ4</f>
        <v>Small</v>
      </c>
      <c r="FO4" s="147" t="s">
        <v>70</v>
      </c>
      <c r="FP4" s="147" t="str">
        <f>FL4</f>
        <v>Large</v>
      </c>
      <c r="FQ4" s="147" t="s">
        <v>72</v>
      </c>
      <c r="FR4" s="166" t="s">
        <v>88</v>
      </c>
      <c r="FS4" s="185"/>
      <c r="FT4" s="186"/>
      <c r="FU4" s="146"/>
      <c r="FV4" s="155"/>
      <c r="FW4" s="187"/>
      <c r="FX4" s="147" t="s">
        <v>69</v>
      </c>
      <c r="FY4" s="147" t="s">
        <v>70</v>
      </c>
      <c r="FZ4" s="147" t="s">
        <v>71</v>
      </c>
      <c r="GA4" s="184" t="s">
        <v>89</v>
      </c>
      <c r="GB4" s="147" t="s">
        <v>69</v>
      </c>
      <c r="GC4" s="147" t="s">
        <v>70</v>
      </c>
      <c r="GD4" s="147" t="s">
        <v>71</v>
      </c>
      <c r="GE4" s="184" t="s">
        <v>89</v>
      </c>
      <c r="GF4" s="188"/>
      <c r="GG4" s="189"/>
      <c r="GH4" s="146"/>
      <c r="GI4" s="155"/>
      <c r="GJ4" s="187"/>
      <c r="GK4" s="147" t="s">
        <v>69</v>
      </c>
      <c r="GL4" s="147" t="s">
        <v>70</v>
      </c>
      <c r="GM4" s="147" t="s">
        <v>71</v>
      </c>
      <c r="GN4" s="184" t="s">
        <v>89</v>
      </c>
      <c r="GO4" s="147" t="s">
        <v>69</v>
      </c>
      <c r="GP4" s="147" t="s">
        <v>70</v>
      </c>
      <c r="GQ4" s="147" t="s">
        <v>71</v>
      </c>
      <c r="GR4" s="184" t="s">
        <v>89</v>
      </c>
      <c r="GS4" s="188"/>
      <c r="GT4" s="189"/>
      <c r="GU4" s="146"/>
      <c r="GV4" s="155"/>
      <c r="GW4" s="187"/>
      <c r="GX4" s="147" t="s">
        <v>69</v>
      </c>
      <c r="GY4" s="147" t="s">
        <v>70</v>
      </c>
      <c r="GZ4" s="147" t="s">
        <v>71</v>
      </c>
      <c r="HA4" s="184" t="s">
        <v>89</v>
      </c>
      <c r="HB4" s="164" t="s">
        <v>69</v>
      </c>
      <c r="HC4" s="147" t="s">
        <v>70</v>
      </c>
      <c r="HD4" s="147" t="s">
        <v>71</v>
      </c>
      <c r="HE4" s="184" t="s">
        <v>89</v>
      </c>
      <c r="HF4" s="188"/>
      <c r="HG4" s="189"/>
      <c r="HH4" s="146"/>
      <c r="HI4" s="155"/>
      <c r="HJ4" s="183"/>
      <c r="HK4" s="164" t="s">
        <v>69</v>
      </c>
      <c r="HL4" s="147" t="s">
        <v>70</v>
      </c>
      <c r="HM4" s="147" t="s">
        <v>71</v>
      </c>
      <c r="HN4" s="184" t="s">
        <v>72</v>
      </c>
      <c r="HO4" s="164" t="s">
        <v>69</v>
      </c>
      <c r="HP4" s="147" t="s">
        <v>70</v>
      </c>
      <c r="HQ4" s="147" t="s">
        <v>71</v>
      </c>
      <c r="HR4" s="184" t="s">
        <v>72</v>
      </c>
      <c r="HS4" s="146"/>
      <c r="HT4" s="157"/>
      <c r="HU4" s="146"/>
      <c r="HV4" s="146"/>
      <c r="HW4" s="190"/>
      <c r="HX4" s="160" t="s">
        <v>90</v>
      </c>
      <c r="HY4" s="160" t="s">
        <v>91</v>
      </c>
      <c r="HZ4" s="160" t="s">
        <v>92</v>
      </c>
      <c r="IA4" s="191" t="s">
        <v>93</v>
      </c>
      <c r="IB4" s="192" t="s">
        <v>94</v>
      </c>
      <c r="IC4" s="192" t="s">
        <v>95</v>
      </c>
      <c r="ID4" s="192" t="s">
        <v>96</v>
      </c>
      <c r="IE4" s="192" t="s">
        <v>97</v>
      </c>
      <c r="IF4" s="192" t="s">
        <v>98</v>
      </c>
      <c r="IG4" s="192" t="s">
        <v>99</v>
      </c>
      <c r="IH4" s="138"/>
      <c r="II4" s="186"/>
      <c r="IJ4" s="138"/>
      <c r="IK4" s="160"/>
      <c r="IL4" s="193" t="s">
        <v>90</v>
      </c>
      <c r="IM4" s="194" t="str">
        <f>ID4</f>
        <v>Volume Ratio</v>
      </c>
      <c r="IN4" s="195" t="s">
        <v>100</v>
      </c>
      <c r="IO4" s="170" t="s">
        <v>101</v>
      </c>
      <c r="IP4" s="195" t="str">
        <f>JQ4</f>
        <v>Study System</v>
      </c>
      <c r="IQ4" s="170" t="s">
        <v>102</v>
      </c>
      <c r="IR4" s="195" t="str">
        <f>IP4</f>
        <v>Study System</v>
      </c>
      <c r="IS4" s="170" t="s">
        <v>102</v>
      </c>
      <c r="IT4" s="195" t="str">
        <f>IR4</f>
        <v>Study System</v>
      </c>
      <c r="IU4" s="170" t="s">
        <v>102</v>
      </c>
      <c r="IV4" s="195" t="s">
        <v>103</v>
      </c>
      <c r="IW4" s="196" t="s">
        <v>104</v>
      </c>
      <c r="IX4" s="197"/>
      <c r="IY4" s="198"/>
      <c r="IZ4" s="197"/>
      <c r="JA4" s="171"/>
      <c r="JB4" s="199" t="s">
        <v>90</v>
      </c>
      <c r="JC4" s="200" t="s">
        <v>95</v>
      </c>
      <c r="JD4" s="200" t="s">
        <v>96</v>
      </c>
      <c r="JE4" s="171" t="str">
        <f>IN4</f>
        <v>Study System</v>
      </c>
      <c r="JF4" s="201" t="s">
        <v>105</v>
      </c>
      <c r="JG4" s="202" t="str">
        <f>JE4</f>
        <v>Study System</v>
      </c>
      <c r="JH4" s="201" t="s">
        <v>106</v>
      </c>
      <c r="JI4" s="202" t="str">
        <f>JE4</f>
        <v>Study System</v>
      </c>
      <c r="JJ4" s="201" t="s">
        <v>107</v>
      </c>
      <c r="JK4" s="202" t="str">
        <f>JI4</f>
        <v>Study System</v>
      </c>
      <c r="JL4" s="201" t="s">
        <v>108</v>
      </c>
      <c r="JM4" s="202" t="str">
        <f>JK4</f>
        <v>Study System</v>
      </c>
      <c r="JN4" s="201" t="s">
        <v>109</v>
      </c>
      <c r="JO4" s="202" t="str">
        <f>JM4</f>
        <v>Study System</v>
      </c>
      <c r="JP4" s="201" t="s">
        <v>110</v>
      </c>
      <c r="JQ4" s="202" t="str">
        <f>JK4</f>
        <v>Study System</v>
      </c>
      <c r="JR4" s="201" t="s">
        <v>111</v>
      </c>
      <c r="JS4" s="202" t="str">
        <f>JQ4</f>
        <v>Study System</v>
      </c>
      <c r="JT4" s="201" t="s">
        <v>112</v>
      </c>
      <c r="JU4" s="202" t="s">
        <v>113</v>
      </c>
      <c r="JV4" s="203" t="s">
        <v>114</v>
      </c>
      <c r="JW4" s="203" t="s">
        <v>115</v>
      </c>
      <c r="JX4" s="197"/>
      <c r="JY4" s="198"/>
      <c r="JZ4" s="204"/>
      <c r="KA4" s="205"/>
      <c r="KB4" s="150" t="s">
        <v>90</v>
      </c>
      <c r="KC4" s="206" t="s">
        <v>116</v>
      </c>
      <c r="KD4" s="206" t="s">
        <v>117</v>
      </c>
      <c r="KE4" s="206" t="s">
        <v>118</v>
      </c>
      <c r="KF4" s="206" t="s">
        <v>119</v>
      </c>
      <c r="KG4" s="206" t="s">
        <v>95</v>
      </c>
      <c r="KH4" s="206" t="s">
        <v>96</v>
      </c>
      <c r="KI4" s="150" t="s">
        <v>120</v>
      </c>
      <c r="KJ4" s="206" t="s">
        <v>121</v>
      </c>
      <c r="KK4" s="138"/>
      <c r="KL4" s="141"/>
      <c r="KM4" s="207"/>
      <c r="KN4" s="160"/>
      <c r="KO4" s="161" t="s">
        <v>90</v>
      </c>
      <c r="KP4" s="194" t="str">
        <f>KJ4</f>
        <v>FY Quarter</v>
      </c>
      <c r="KQ4" s="194" t="str">
        <f>KI4</f>
        <v>Total System Ratio</v>
      </c>
      <c r="KR4" s="195" t="s">
        <v>27</v>
      </c>
      <c r="KS4" s="170" t="s">
        <v>122</v>
      </c>
      <c r="KT4" s="195" t="s">
        <v>27</v>
      </c>
      <c r="KU4" s="170" t="str">
        <f>LV4</f>
        <v>Target Year</v>
      </c>
      <c r="KV4" s="195" t="str">
        <f>KT4</f>
        <v>Total System</v>
      </c>
      <c r="KW4" s="170" t="str">
        <f>KU4</f>
        <v>Target Year</v>
      </c>
      <c r="KX4" s="196" t="s">
        <v>27</v>
      </c>
      <c r="KY4" s="196" t="s">
        <v>122</v>
      </c>
      <c r="KZ4" s="195" t="s">
        <v>123</v>
      </c>
      <c r="LA4" s="196" t="s">
        <v>124</v>
      </c>
      <c r="LB4" s="207"/>
      <c r="LC4" s="208"/>
      <c r="LD4" s="207"/>
      <c r="LE4" s="171"/>
      <c r="LF4" s="193" t="s">
        <v>125</v>
      </c>
      <c r="LG4" s="209" t="s">
        <v>95</v>
      </c>
      <c r="LH4" s="194" t="s">
        <v>96</v>
      </c>
      <c r="LI4" s="195" t="s">
        <v>126</v>
      </c>
      <c r="LJ4" s="170" t="s">
        <v>122</v>
      </c>
      <c r="LK4" s="195" t="s">
        <v>126</v>
      </c>
      <c r="LL4" s="170" t="str">
        <f>LJ4</f>
        <v>Target Year</v>
      </c>
      <c r="LM4" s="195" t="s">
        <v>126</v>
      </c>
      <c r="LN4" s="170" t="str">
        <f>LL4</f>
        <v>Target Year</v>
      </c>
      <c r="LO4" s="195" t="s">
        <v>126</v>
      </c>
      <c r="LP4" s="170" t="str">
        <f>LN4</f>
        <v>Target Year</v>
      </c>
      <c r="LQ4" s="195" t="s">
        <v>127</v>
      </c>
      <c r="LR4" s="170" t="str">
        <f>LN4</f>
        <v>Target Year</v>
      </c>
      <c r="LS4" s="195" t="s">
        <v>127</v>
      </c>
      <c r="LT4" s="170" t="str">
        <f>LP4</f>
        <v>Target Year</v>
      </c>
      <c r="LU4" s="195" t="s">
        <v>127</v>
      </c>
      <c r="LV4" s="170" t="str">
        <f>LP4</f>
        <v>Target Year</v>
      </c>
      <c r="LW4" s="195" t="s">
        <v>127</v>
      </c>
      <c r="LX4" s="170" t="str">
        <f>LV4</f>
        <v>Target Year</v>
      </c>
      <c r="LY4" s="195" t="s">
        <v>27</v>
      </c>
      <c r="LZ4" s="196" t="s">
        <v>442</v>
      </c>
      <c r="MA4" s="210"/>
      <c r="MB4" s="211"/>
      <c r="MC4" s="153"/>
      <c r="MD4" s="171"/>
      <c r="ME4" s="165" t="s">
        <v>90</v>
      </c>
      <c r="MF4" s="195" t="s">
        <v>100</v>
      </c>
      <c r="MG4" s="165" t="s">
        <v>27</v>
      </c>
      <c r="MH4" s="170" t="s">
        <v>122</v>
      </c>
      <c r="MI4" s="195" t="s">
        <v>100</v>
      </c>
      <c r="MJ4" s="165" t="s">
        <v>27</v>
      </c>
      <c r="MK4" s="170" t="s">
        <v>122</v>
      </c>
      <c r="ML4" s="195" t="s">
        <v>100</v>
      </c>
      <c r="MM4" s="165" t="s">
        <v>27</v>
      </c>
      <c r="MN4" s="170" t="s">
        <v>122</v>
      </c>
      <c r="MO4" s="146"/>
      <c r="MP4" s="157"/>
      <c r="MQ4" s="146"/>
      <c r="MR4" s="165"/>
      <c r="MS4" s="165" t="s">
        <v>128</v>
      </c>
      <c r="MT4" s="165" t="s">
        <v>129</v>
      </c>
      <c r="MU4" s="146"/>
      <c r="MV4" s="157"/>
      <c r="MW4" s="146"/>
      <c r="MX4" s="147"/>
      <c r="MY4" s="148"/>
      <c r="MZ4" s="983" t="s">
        <v>130</v>
      </c>
      <c r="NA4" s="983"/>
      <c r="NB4" s="898"/>
      <c r="NC4" s="982" t="s">
        <v>131</v>
      </c>
      <c r="ND4" s="983"/>
      <c r="NE4" s="146"/>
      <c r="NF4" s="157"/>
      <c r="NG4" s="146"/>
      <c r="NH4" s="147"/>
      <c r="NI4" s="212"/>
      <c r="NJ4" s="898" t="s">
        <v>132</v>
      </c>
      <c r="NK4" s="212" t="s">
        <v>133</v>
      </c>
      <c r="NL4" s="898" t="s">
        <v>134</v>
      </c>
      <c r="NM4" s="898" t="s">
        <v>134</v>
      </c>
      <c r="NN4" s="146"/>
      <c r="NO4" s="157"/>
      <c r="NP4" s="146"/>
      <c r="NQ4" s="213"/>
      <c r="NR4" s="213"/>
      <c r="NS4" s="213"/>
      <c r="NT4" s="213"/>
      <c r="NU4" s="213"/>
      <c r="NV4" s="213"/>
      <c r="NW4" s="213"/>
    </row>
    <row r="5" spans="2:387" ht="21" customHeight="1" x14ac:dyDescent="0.3">
      <c r="B5" s="215" t="s">
        <v>135</v>
      </c>
      <c r="C5" s="216"/>
      <c r="D5" s="217"/>
      <c r="E5" s="218"/>
      <c r="F5" s="219" t="s">
        <v>136</v>
      </c>
      <c r="G5" s="220" t="s">
        <v>137</v>
      </c>
      <c r="H5" s="221" t="s">
        <v>138</v>
      </c>
      <c r="I5" s="215" t="s">
        <v>139</v>
      </c>
      <c r="J5" s="220" t="s">
        <v>140</v>
      </c>
      <c r="K5" s="219" t="s">
        <v>141</v>
      </c>
      <c r="L5" s="222" t="s">
        <v>142</v>
      </c>
      <c r="M5" s="220" t="s">
        <v>143</v>
      </c>
      <c r="N5" s="219" t="s">
        <v>144</v>
      </c>
      <c r="O5" s="222" t="s">
        <v>145</v>
      </c>
      <c r="P5" s="220" t="s">
        <v>146</v>
      </c>
      <c r="Q5" s="223" t="s">
        <v>147</v>
      </c>
      <c r="R5" s="215" t="s">
        <v>148</v>
      </c>
      <c r="S5" s="224"/>
      <c r="T5" s="225"/>
      <c r="U5" s="214"/>
      <c r="V5" s="226" t="s">
        <v>135</v>
      </c>
      <c r="W5" s="227" t="s">
        <v>136</v>
      </c>
      <c r="X5" s="226" t="s">
        <v>137</v>
      </c>
      <c r="Y5" s="228" t="s">
        <v>149</v>
      </c>
      <c r="Z5" s="226" t="s">
        <v>139</v>
      </c>
      <c r="AA5" s="226" t="s">
        <v>140</v>
      </c>
      <c r="AB5" s="207"/>
      <c r="AC5" s="229"/>
      <c r="AD5" s="225"/>
      <c r="AE5" s="214"/>
      <c r="AF5" s="226" t="s">
        <v>135</v>
      </c>
      <c r="AG5" s="227" t="s">
        <v>136</v>
      </c>
      <c r="AH5" s="226" t="s">
        <v>137</v>
      </c>
      <c r="AI5" s="228" t="s">
        <v>149</v>
      </c>
      <c r="AJ5" s="226" t="s">
        <v>139</v>
      </c>
      <c r="AK5" s="214"/>
      <c r="AL5" s="230"/>
      <c r="AM5" s="214"/>
      <c r="AN5" s="226" t="s">
        <v>135</v>
      </c>
      <c r="AO5" s="231"/>
      <c r="AP5" s="232"/>
      <c r="AQ5" s="232"/>
      <c r="AR5" s="233"/>
      <c r="AS5" s="226" t="s">
        <v>136</v>
      </c>
      <c r="AT5" s="226" t="s">
        <v>137</v>
      </c>
      <c r="AU5" s="226"/>
      <c r="AV5" s="226">
        <v>0</v>
      </c>
      <c r="AW5" s="226" t="s">
        <v>137</v>
      </c>
      <c r="AX5" s="226" t="s">
        <v>149</v>
      </c>
      <c r="AY5" s="226"/>
      <c r="AZ5" s="226" t="s">
        <v>139</v>
      </c>
      <c r="BA5" s="226" t="s">
        <v>140</v>
      </c>
      <c r="BB5" s="226" t="s">
        <v>141</v>
      </c>
      <c r="BC5" s="226"/>
      <c r="BD5" s="226" t="s">
        <v>142</v>
      </c>
      <c r="BE5" s="226" t="s">
        <v>143</v>
      </c>
      <c r="BF5" s="226" t="s">
        <v>144</v>
      </c>
      <c r="BG5" s="226"/>
      <c r="BH5" s="226" t="s">
        <v>145</v>
      </c>
      <c r="BI5" s="226" t="s">
        <v>146</v>
      </c>
      <c r="BJ5" s="226" t="s">
        <v>147</v>
      </c>
      <c r="BK5" s="226"/>
      <c r="BL5" s="226" t="s">
        <v>148</v>
      </c>
      <c r="BM5" s="226" t="s">
        <v>150</v>
      </c>
      <c r="BN5" s="226" t="s">
        <v>151</v>
      </c>
      <c r="BO5" s="226"/>
      <c r="BP5" s="226" t="s">
        <v>152</v>
      </c>
      <c r="BQ5" s="226" t="s">
        <v>153</v>
      </c>
      <c r="BR5" s="226" t="s">
        <v>154</v>
      </c>
      <c r="BS5" s="226"/>
      <c r="BT5" s="226" t="s">
        <v>155</v>
      </c>
      <c r="BU5" s="226" t="s">
        <v>156</v>
      </c>
      <c r="BV5" s="226" t="s">
        <v>157</v>
      </c>
      <c r="BW5" s="227" t="s">
        <v>136</v>
      </c>
      <c r="BX5" s="226" t="s">
        <v>137</v>
      </c>
      <c r="BY5" s="226" t="s">
        <v>138</v>
      </c>
      <c r="BZ5" s="227" t="s">
        <v>136</v>
      </c>
      <c r="CA5" s="226" t="s">
        <v>137</v>
      </c>
      <c r="CB5" s="226" t="s">
        <v>138</v>
      </c>
      <c r="CC5" s="234" t="s">
        <v>139</v>
      </c>
      <c r="CD5" s="226" t="s">
        <v>140</v>
      </c>
      <c r="CE5" s="226" t="s">
        <v>141</v>
      </c>
      <c r="CF5" s="235" t="s">
        <v>142</v>
      </c>
      <c r="CG5" s="226" t="s">
        <v>143</v>
      </c>
      <c r="CH5" s="214"/>
      <c r="CI5" s="225"/>
      <c r="CJ5" s="214"/>
      <c r="CK5" s="226" t="s">
        <v>135</v>
      </c>
      <c r="CL5" s="236"/>
      <c r="CM5" s="226" t="s">
        <v>136</v>
      </c>
      <c r="CN5" s="226" t="s">
        <v>137</v>
      </c>
      <c r="CO5" s="226" t="s">
        <v>149</v>
      </c>
      <c r="CP5" s="237" t="s">
        <v>139</v>
      </c>
      <c r="CQ5" s="226" t="s">
        <v>140</v>
      </c>
      <c r="CR5" s="226" t="s">
        <v>141</v>
      </c>
      <c r="CS5" s="226" t="s">
        <v>142</v>
      </c>
      <c r="CT5" s="226" t="s">
        <v>143</v>
      </c>
      <c r="CU5" s="238"/>
      <c r="CV5" s="186"/>
      <c r="CW5" s="214"/>
      <c r="CX5" s="226" t="s">
        <v>135</v>
      </c>
      <c r="CY5" s="239"/>
      <c r="CZ5" s="226" t="s">
        <v>136</v>
      </c>
      <c r="DA5" s="240" t="s">
        <v>137</v>
      </c>
      <c r="DB5" s="226" t="s">
        <v>149</v>
      </c>
      <c r="DC5" s="241" t="s">
        <v>139</v>
      </c>
      <c r="DD5" s="241" t="s">
        <v>140</v>
      </c>
      <c r="DE5" s="214"/>
      <c r="DF5" s="186"/>
      <c r="DG5" s="214"/>
      <c r="DH5" s="226" t="s">
        <v>135</v>
      </c>
      <c r="DI5" s="239"/>
      <c r="DJ5" s="226" t="s">
        <v>136</v>
      </c>
      <c r="DK5" s="240" t="s">
        <v>137</v>
      </c>
      <c r="DL5" s="226" t="s">
        <v>149</v>
      </c>
      <c r="DM5" s="241" t="s">
        <v>139</v>
      </c>
      <c r="DN5" s="214"/>
      <c r="DO5" s="225"/>
      <c r="DP5" s="214"/>
      <c r="DQ5" s="226" t="s">
        <v>135</v>
      </c>
      <c r="DR5" s="242"/>
      <c r="DS5" s="241" t="s">
        <v>136</v>
      </c>
      <c r="DT5" s="241" t="s">
        <v>137</v>
      </c>
      <c r="DU5" s="241" t="s">
        <v>149</v>
      </c>
      <c r="DV5" s="241" t="s">
        <v>139</v>
      </c>
      <c r="DW5" s="243" t="s">
        <v>140</v>
      </c>
      <c r="DX5" s="241" t="s">
        <v>141</v>
      </c>
      <c r="DY5" s="241" t="s">
        <v>142</v>
      </c>
      <c r="DZ5" s="241" t="s">
        <v>143</v>
      </c>
      <c r="EA5" s="214"/>
      <c r="EB5" s="225"/>
      <c r="EC5" s="214"/>
      <c r="ED5" s="226" t="s">
        <v>135</v>
      </c>
      <c r="EE5" s="236"/>
      <c r="EF5" s="226" t="s">
        <v>136</v>
      </c>
      <c r="EG5" s="226" t="s">
        <v>137</v>
      </c>
      <c r="EH5" s="226" t="s">
        <v>149</v>
      </c>
      <c r="EI5" s="237" t="s">
        <v>139</v>
      </c>
      <c r="EJ5" s="226" t="s">
        <v>140</v>
      </c>
      <c r="EK5" s="226" t="s">
        <v>141</v>
      </c>
      <c r="EL5" s="226" t="s">
        <v>142</v>
      </c>
      <c r="EM5" s="226" t="s">
        <v>143</v>
      </c>
      <c r="EN5" s="244"/>
      <c r="EO5" s="245"/>
      <c r="EP5" s="214"/>
      <c r="EQ5" s="226" t="s">
        <v>135</v>
      </c>
      <c r="ER5" s="236"/>
      <c r="ES5" s="226" t="s">
        <v>136</v>
      </c>
      <c r="ET5" s="226" t="s">
        <v>137</v>
      </c>
      <c r="EU5" s="226" t="s">
        <v>149</v>
      </c>
      <c r="EV5" s="237" t="s">
        <v>139</v>
      </c>
      <c r="EW5" s="226" t="s">
        <v>140</v>
      </c>
      <c r="EX5" s="226" t="s">
        <v>141</v>
      </c>
      <c r="EY5" s="226" t="s">
        <v>142</v>
      </c>
      <c r="EZ5" s="237" t="s">
        <v>143</v>
      </c>
      <c r="FA5" s="226" t="s">
        <v>144</v>
      </c>
      <c r="FB5" s="226" t="s">
        <v>145</v>
      </c>
      <c r="FC5" s="226" t="s">
        <v>146</v>
      </c>
      <c r="FD5" s="244"/>
      <c r="FE5" s="245"/>
      <c r="FF5" s="214"/>
      <c r="FG5" s="226" t="s">
        <v>135</v>
      </c>
      <c r="FH5" s="232"/>
      <c r="FI5" s="246"/>
      <c r="FJ5" s="226" t="s">
        <v>136</v>
      </c>
      <c r="FK5" s="226" t="s">
        <v>137</v>
      </c>
      <c r="FL5" s="226" t="s">
        <v>149</v>
      </c>
      <c r="FM5" s="237" t="s">
        <v>139</v>
      </c>
      <c r="FN5" s="226" t="s">
        <v>140</v>
      </c>
      <c r="FO5" s="226" t="s">
        <v>141</v>
      </c>
      <c r="FP5" s="226" t="s">
        <v>142</v>
      </c>
      <c r="FQ5" s="226" t="s">
        <v>143</v>
      </c>
      <c r="FR5" s="226" t="s">
        <v>144</v>
      </c>
      <c r="FS5" s="244"/>
      <c r="FT5" s="186"/>
      <c r="FU5" s="214"/>
      <c r="FV5" s="226" t="s">
        <v>135</v>
      </c>
      <c r="FW5" s="247"/>
      <c r="FX5" s="226" t="s">
        <v>136</v>
      </c>
      <c r="FY5" s="226" t="s">
        <v>137</v>
      </c>
      <c r="FZ5" s="226" t="s">
        <v>149</v>
      </c>
      <c r="GA5" s="237" t="s">
        <v>139</v>
      </c>
      <c r="GB5" s="226" t="s">
        <v>140</v>
      </c>
      <c r="GC5" s="226" t="s">
        <v>141</v>
      </c>
      <c r="GD5" s="226" t="s">
        <v>142</v>
      </c>
      <c r="GE5" s="226" t="s">
        <v>143</v>
      </c>
      <c r="GF5" s="248"/>
      <c r="GG5" s="225"/>
      <c r="GH5" s="214"/>
      <c r="GI5" s="226" t="s">
        <v>135</v>
      </c>
      <c r="GJ5" s="247"/>
      <c r="GK5" s="226" t="s">
        <v>136</v>
      </c>
      <c r="GL5" s="226" t="s">
        <v>137</v>
      </c>
      <c r="GM5" s="226" t="s">
        <v>149</v>
      </c>
      <c r="GN5" s="237" t="s">
        <v>139</v>
      </c>
      <c r="GO5" s="226" t="s">
        <v>140</v>
      </c>
      <c r="GP5" s="226" t="s">
        <v>141</v>
      </c>
      <c r="GQ5" s="226" t="s">
        <v>142</v>
      </c>
      <c r="GR5" s="226" t="s">
        <v>143</v>
      </c>
      <c r="GS5" s="248"/>
      <c r="GT5" s="225"/>
      <c r="GU5" s="214"/>
      <c r="GV5" s="226" t="s">
        <v>135</v>
      </c>
      <c r="GW5" s="247"/>
      <c r="GX5" s="226" t="s">
        <v>136</v>
      </c>
      <c r="GY5" s="226" t="s">
        <v>137</v>
      </c>
      <c r="GZ5" s="226" t="s">
        <v>149</v>
      </c>
      <c r="HA5" s="237" t="s">
        <v>139</v>
      </c>
      <c r="HB5" s="226" t="s">
        <v>140</v>
      </c>
      <c r="HC5" s="226" t="s">
        <v>141</v>
      </c>
      <c r="HD5" s="226" t="s">
        <v>142</v>
      </c>
      <c r="HE5" s="226" t="s">
        <v>143</v>
      </c>
      <c r="HF5" s="248"/>
      <c r="HG5" s="225"/>
      <c r="HH5" s="214"/>
      <c r="HI5" s="226" t="s">
        <v>135</v>
      </c>
      <c r="HJ5" s="233"/>
      <c r="HK5" s="226" t="s">
        <v>136</v>
      </c>
      <c r="HL5" s="226" t="s">
        <v>137</v>
      </c>
      <c r="HM5" s="226" t="s">
        <v>149</v>
      </c>
      <c r="HN5" s="237" t="s">
        <v>139</v>
      </c>
      <c r="HO5" s="226" t="s">
        <v>140</v>
      </c>
      <c r="HP5" s="226" t="s">
        <v>141</v>
      </c>
      <c r="HQ5" s="226" t="s">
        <v>142</v>
      </c>
      <c r="HR5" s="226" t="s">
        <v>143</v>
      </c>
      <c r="HS5" s="214"/>
      <c r="HT5" s="225"/>
      <c r="HU5" s="214"/>
      <c r="HV5" s="214"/>
      <c r="HW5" s="249" t="s">
        <v>158</v>
      </c>
      <c r="HX5" s="226" t="s">
        <v>136</v>
      </c>
      <c r="HY5" s="226" t="s">
        <v>137</v>
      </c>
      <c r="HZ5" s="226" t="s">
        <v>149</v>
      </c>
      <c r="IA5" s="226" t="s">
        <v>139</v>
      </c>
      <c r="IB5" s="226" t="s">
        <v>140</v>
      </c>
      <c r="IC5" s="226" t="s">
        <v>141</v>
      </c>
      <c r="ID5" s="226" t="s">
        <v>142</v>
      </c>
      <c r="IE5" s="226" t="s">
        <v>143</v>
      </c>
      <c r="IF5" s="226" t="s">
        <v>144</v>
      </c>
      <c r="IG5" s="226" t="s">
        <v>145</v>
      </c>
      <c r="IH5" s="207"/>
      <c r="II5" s="135"/>
      <c r="IJ5" s="207"/>
      <c r="IK5" s="250" t="s">
        <v>135</v>
      </c>
      <c r="IL5" s="251" t="s">
        <v>136</v>
      </c>
      <c r="IM5" s="237" t="s">
        <v>137</v>
      </c>
      <c r="IN5" s="226" t="s">
        <v>149</v>
      </c>
      <c r="IO5" s="237" t="s">
        <v>139</v>
      </c>
      <c r="IP5" s="226" t="s">
        <v>140</v>
      </c>
      <c r="IQ5" s="237" t="s">
        <v>141</v>
      </c>
      <c r="IR5" s="226" t="s">
        <v>142</v>
      </c>
      <c r="IS5" s="237" t="s">
        <v>143</v>
      </c>
      <c r="IT5" s="226" t="s">
        <v>144</v>
      </c>
      <c r="IU5" s="226" t="s">
        <v>145</v>
      </c>
      <c r="IV5" s="226" t="s">
        <v>146</v>
      </c>
      <c r="IW5" s="226" t="s">
        <v>147</v>
      </c>
      <c r="IX5" s="207"/>
      <c r="IY5" s="208"/>
      <c r="IZ5" s="207"/>
      <c r="JA5" s="252" t="s">
        <v>158</v>
      </c>
      <c r="JB5" s="253" t="s">
        <v>136</v>
      </c>
      <c r="JC5" s="254" t="s">
        <v>137</v>
      </c>
      <c r="JD5" s="253" t="s">
        <v>149</v>
      </c>
      <c r="JE5" s="255" t="s">
        <v>139</v>
      </c>
      <c r="JF5" s="254" t="s">
        <v>140</v>
      </c>
      <c r="JG5" s="255" t="s">
        <v>141</v>
      </c>
      <c r="JH5" s="254" t="s">
        <v>142</v>
      </c>
      <c r="JI5" s="255" t="s">
        <v>143</v>
      </c>
      <c r="JJ5" s="254" t="s">
        <v>144</v>
      </c>
      <c r="JK5" s="255" t="s">
        <v>145</v>
      </c>
      <c r="JL5" s="254" t="s">
        <v>146</v>
      </c>
      <c r="JM5" s="255" t="s">
        <v>147</v>
      </c>
      <c r="JN5" s="254" t="s">
        <v>148</v>
      </c>
      <c r="JO5" s="255" t="s">
        <v>150</v>
      </c>
      <c r="JP5" s="254" t="s">
        <v>151</v>
      </c>
      <c r="JQ5" s="255" t="s">
        <v>152</v>
      </c>
      <c r="JR5" s="254" t="s">
        <v>153</v>
      </c>
      <c r="JS5" s="256" t="s">
        <v>159</v>
      </c>
      <c r="JT5" s="254" t="s">
        <v>155</v>
      </c>
      <c r="JU5" s="255" t="s">
        <v>156</v>
      </c>
      <c r="JV5" s="255" t="s">
        <v>157</v>
      </c>
      <c r="JW5" s="255" t="s">
        <v>160</v>
      </c>
      <c r="JX5" s="207"/>
      <c r="JY5" s="208"/>
      <c r="JZ5" s="101"/>
      <c r="KA5" s="249" t="s">
        <v>135</v>
      </c>
      <c r="KB5" s="226" t="s">
        <v>136</v>
      </c>
      <c r="KC5" s="226" t="s">
        <v>137</v>
      </c>
      <c r="KD5" s="226" t="s">
        <v>161</v>
      </c>
      <c r="KE5" s="226" t="s">
        <v>139</v>
      </c>
      <c r="KF5" s="226" t="s">
        <v>162</v>
      </c>
      <c r="KG5" s="226" t="s">
        <v>141</v>
      </c>
      <c r="KH5" s="226" t="s">
        <v>142</v>
      </c>
      <c r="KI5" s="226" t="s">
        <v>143</v>
      </c>
      <c r="KJ5" s="226" t="s">
        <v>144</v>
      </c>
      <c r="KK5" s="207"/>
      <c r="KL5" s="208"/>
      <c r="KM5" s="138"/>
      <c r="KN5" s="249" t="s">
        <v>135</v>
      </c>
      <c r="KO5" s="226" t="str">
        <f>KB5</f>
        <v>(a)</v>
      </c>
      <c r="KP5" s="226" t="s">
        <v>137</v>
      </c>
      <c r="KQ5" s="226" t="s">
        <v>161</v>
      </c>
      <c r="KR5" s="226" t="s">
        <v>139</v>
      </c>
      <c r="KS5" s="226" t="s">
        <v>162</v>
      </c>
      <c r="KT5" s="226" t="s">
        <v>141</v>
      </c>
      <c r="KU5" s="226" t="s">
        <v>142</v>
      </c>
      <c r="KV5" s="226" t="s">
        <v>143</v>
      </c>
      <c r="KW5" s="226" t="s">
        <v>144</v>
      </c>
      <c r="KX5" s="226" t="s">
        <v>145</v>
      </c>
      <c r="KY5" s="226" t="s">
        <v>146</v>
      </c>
      <c r="KZ5" s="226" t="s">
        <v>147</v>
      </c>
      <c r="LA5" s="226" t="s">
        <v>148</v>
      </c>
      <c r="LB5" s="138"/>
      <c r="LC5" s="141"/>
      <c r="LD5" s="138"/>
      <c r="LE5" s="257" t="s">
        <v>135</v>
      </c>
      <c r="LF5" s="251" t="s">
        <v>136</v>
      </c>
      <c r="LG5" s="251" t="s">
        <v>137</v>
      </c>
      <c r="LH5" s="251" t="s">
        <v>161</v>
      </c>
      <c r="LI5" s="226" t="s">
        <v>139</v>
      </c>
      <c r="LJ5" s="237" t="s">
        <v>162</v>
      </c>
      <c r="LK5" s="226" t="s">
        <v>141</v>
      </c>
      <c r="LL5" s="237" t="s">
        <v>142</v>
      </c>
      <c r="LM5" s="226" t="s">
        <v>143</v>
      </c>
      <c r="LN5" s="237" t="s">
        <v>144</v>
      </c>
      <c r="LO5" s="237" t="s">
        <v>145</v>
      </c>
      <c r="LP5" s="237" t="s">
        <v>146</v>
      </c>
      <c r="LQ5" s="226" t="s">
        <v>147</v>
      </c>
      <c r="LR5" s="237" t="s">
        <v>148</v>
      </c>
      <c r="LS5" s="226" t="s">
        <v>150</v>
      </c>
      <c r="LT5" s="237" t="s">
        <v>151</v>
      </c>
      <c r="LU5" s="226" t="s">
        <v>152</v>
      </c>
      <c r="LV5" s="237" t="s">
        <v>153</v>
      </c>
      <c r="LW5" s="226" t="s">
        <v>154</v>
      </c>
      <c r="LX5" s="237" t="s">
        <v>163</v>
      </c>
      <c r="LY5" s="226" t="s">
        <v>156</v>
      </c>
      <c r="LZ5" s="226" t="s">
        <v>157</v>
      </c>
      <c r="MA5" s="101"/>
      <c r="MB5" s="189"/>
      <c r="MC5" s="224"/>
      <c r="MD5" s="249" t="s">
        <v>158</v>
      </c>
      <c r="ME5" s="237" t="s">
        <v>136</v>
      </c>
      <c r="MF5" s="226" t="s">
        <v>137</v>
      </c>
      <c r="MG5" s="226" t="s">
        <v>161</v>
      </c>
      <c r="MH5" s="237" t="s">
        <v>139</v>
      </c>
      <c r="MI5" s="226" t="s">
        <v>162</v>
      </c>
      <c r="MJ5" s="226" t="s">
        <v>141</v>
      </c>
      <c r="MK5" s="237" t="s">
        <v>142</v>
      </c>
      <c r="ML5" s="226" t="s">
        <v>143</v>
      </c>
      <c r="MM5" s="226" t="s">
        <v>144</v>
      </c>
      <c r="MN5" s="226" t="s">
        <v>145</v>
      </c>
      <c r="MO5" s="214"/>
      <c r="MP5" s="230"/>
      <c r="MQ5" s="224"/>
      <c r="MR5" s="249" t="s">
        <v>135</v>
      </c>
      <c r="MS5" s="227" t="s">
        <v>136</v>
      </c>
      <c r="MT5" s="226" t="s">
        <v>137</v>
      </c>
      <c r="MU5" s="224"/>
      <c r="MV5" s="230"/>
      <c r="MW5" s="224"/>
      <c r="MX5" s="258"/>
      <c r="MY5" s="258"/>
      <c r="MZ5" s="259" t="s">
        <v>62</v>
      </c>
      <c r="NA5" s="260" t="s">
        <v>63</v>
      </c>
      <c r="NB5" s="261"/>
      <c r="NC5" s="262" t="s">
        <v>62</v>
      </c>
      <c r="ND5" s="260" t="s">
        <v>63</v>
      </c>
      <c r="NE5" s="214"/>
      <c r="NF5" s="230"/>
      <c r="NG5" s="224"/>
      <c r="NH5" s="258"/>
      <c r="NI5" s="258"/>
      <c r="NJ5" s="258"/>
      <c r="NK5" s="258"/>
      <c r="NL5" s="263" t="s">
        <v>164</v>
      </c>
      <c r="NM5" s="263" t="s">
        <v>165</v>
      </c>
      <c r="NN5" s="214"/>
      <c r="NO5" s="230"/>
      <c r="NP5" s="224"/>
      <c r="NQ5" s="264"/>
      <c r="NR5" s="264"/>
      <c r="NS5" s="264"/>
      <c r="NT5" s="264"/>
      <c r="NU5" s="264"/>
      <c r="NV5" s="264"/>
      <c r="NW5" s="264"/>
    </row>
    <row r="6" spans="2:387" x14ac:dyDescent="0.3">
      <c r="B6" s="265">
        <v>1</v>
      </c>
      <c r="C6" s="266" t="s">
        <v>166</v>
      </c>
      <c r="D6" s="267"/>
      <c r="E6" s="268"/>
      <c r="F6" s="269"/>
      <c r="G6" s="270"/>
      <c r="H6" s="271"/>
      <c r="I6" s="272"/>
      <c r="J6" s="270"/>
      <c r="K6" s="269"/>
      <c r="L6" s="273"/>
      <c r="M6" s="270"/>
      <c r="N6" s="269"/>
      <c r="O6" s="273"/>
      <c r="P6" s="270"/>
      <c r="Q6" s="274"/>
      <c r="R6" s="272"/>
      <c r="V6" s="275"/>
      <c r="W6" s="276" t="s">
        <v>25</v>
      </c>
      <c r="X6" s="277"/>
      <c r="Y6" s="278"/>
      <c r="Z6" s="278"/>
      <c r="AA6" s="278"/>
      <c r="AB6" s="279"/>
      <c r="AC6" s="280"/>
      <c r="AF6" s="281"/>
      <c r="AG6" s="282" t="s">
        <v>25</v>
      </c>
      <c r="AH6" s="97"/>
      <c r="AI6" s="97"/>
      <c r="AJ6" s="97"/>
      <c r="AN6" s="283">
        <v>1</v>
      </c>
      <c r="AO6" s="284"/>
      <c r="AP6" s="285" t="s">
        <v>166</v>
      </c>
      <c r="AQ6" s="281"/>
      <c r="AR6" s="28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287"/>
      <c r="CD6" s="97"/>
      <c r="CE6" s="97"/>
      <c r="CF6" s="287"/>
      <c r="CG6" s="97"/>
      <c r="CK6" s="283">
        <v>1</v>
      </c>
      <c r="CL6" s="288" t="s">
        <v>69</v>
      </c>
      <c r="CM6" s="289">
        <v>227847.12639999998</v>
      </c>
      <c r="CN6" s="17">
        <v>4426873.1057000002</v>
      </c>
      <c r="CO6" s="17">
        <v>573783.94040000008</v>
      </c>
      <c r="CP6" s="290">
        <f>CO6+CN6</f>
        <v>5000657.0460999999</v>
      </c>
      <c r="CQ6" s="289">
        <v>230065.55064242429</v>
      </c>
      <c r="CR6" s="17">
        <v>4467617.8590333341</v>
      </c>
      <c r="CS6" s="17">
        <v>444149.88200351072</v>
      </c>
      <c r="CT6" s="17">
        <f>CS6+CR6</f>
        <v>4911767.7410368444</v>
      </c>
      <c r="CU6" s="291"/>
      <c r="CV6" s="186"/>
      <c r="CX6" s="283">
        <v>1</v>
      </c>
      <c r="CY6" s="292" t="s">
        <v>69</v>
      </c>
      <c r="CZ6" s="293">
        <v>27072.303499999998</v>
      </c>
      <c r="DA6" s="290">
        <v>571445.50265000004</v>
      </c>
      <c r="DB6" s="293">
        <v>27072.303499999998</v>
      </c>
      <c r="DC6" s="17">
        <v>571445.50264999992</v>
      </c>
      <c r="DD6" s="17">
        <v>571445.50264999992</v>
      </c>
      <c r="DF6" s="186"/>
      <c r="DH6" s="283">
        <v>1</v>
      </c>
      <c r="DI6" s="292" t="s">
        <v>69</v>
      </c>
      <c r="DJ6" s="293">
        <v>125693.06199999999</v>
      </c>
      <c r="DK6" s="290">
        <v>3148278.1857500002</v>
      </c>
      <c r="DL6" s="293">
        <v>127299.97109090912</v>
      </c>
      <c r="DM6" s="17">
        <v>3327431.0126313376</v>
      </c>
      <c r="DQ6" s="283">
        <v>1</v>
      </c>
      <c r="DR6" s="294" t="s">
        <v>167</v>
      </c>
      <c r="DS6" s="295">
        <v>240234</v>
      </c>
      <c r="DT6" s="295">
        <v>283539</v>
      </c>
      <c r="DU6" s="295">
        <v>365317</v>
      </c>
      <c r="DV6" s="295">
        <f>SUM(DS6:DU6)</f>
        <v>889090</v>
      </c>
      <c r="DW6" s="296">
        <v>228850</v>
      </c>
      <c r="DX6" s="295">
        <v>279164</v>
      </c>
      <c r="DY6" s="295">
        <v>340128</v>
      </c>
      <c r="DZ6" s="295">
        <v>848142</v>
      </c>
      <c r="ED6" s="283">
        <v>1</v>
      </c>
      <c r="EE6" s="286" t="s">
        <v>168</v>
      </c>
      <c r="EF6" s="17">
        <v>287644.26399999997</v>
      </c>
      <c r="EG6" s="17">
        <v>414688.32799999998</v>
      </c>
      <c r="EH6" s="17">
        <v>382662.99469999998</v>
      </c>
      <c r="EI6" s="290">
        <f>SUM(EF6:EH6)</f>
        <v>1084995.5866999999</v>
      </c>
      <c r="EJ6" s="17">
        <v>278075.03116146935</v>
      </c>
      <c r="EK6" s="17">
        <v>422093.25051200658</v>
      </c>
      <c r="EL6" s="17">
        <v>387861.38685864961</v>
      </c>
      <c r="EM6" s="17">
        <f>SUM(EJ6:EL6)</f>
        <v>1088029.6685321254</v>
      </c>
      <c r="EN6" s="103"/>
      <c r="EO6" s="189"/>
      <c r="EQ6" s="283">
        <v>1</v>
      </c>
      <c r="ER6" s="286" t="s">
        <v>168</v>
      </c>
      <c r="ES6" s="17">
        <v>213728.13600000003</v>
      </c>
      <c r="ET6" s="17">
        <v>105449.12000000001</v>
      </c>
      <c r="EU6" s="17">
        <v>103689.106</v>
      </c>
      <c r="EV6" s="290">
        <f>SUM(ES6:EU6)</f>
        <v>422866.36200000008</v>
      </c>
      <c r="EW6" s="17">
        <v>198637.33426570735</v>
      </c>
      <c r="EX6" s="17">
        <v>103141.52581775701</v>
      </c>
      <c r="EY6" s="17">
        <v>104277.30279141104</v>
      </c>
      <c r="EZ6" s="290">
        <f>SUM(EW6:EY6)</f>
        <v>406056.16287487542</v>
      </c>
      <c r="FA6" s="17">
        <f t="shared" ref="FA6:FA7" si="0">(EZ6/$EZ$9)*$FA$9</f>
        <v>290034.66992797703</v>
      </c>
      <c r="FB6" s="17">
        <f>(EZ6/$EZ$9)*$FB$9</f>
        <v>116155.68924426479</v>
      </c>
      <c r="FC6" s="17">
        <f>SUM(FA6:FB6)</f>
        <v>406190.35917224182</v>
      </c>
      <c r="FD6" s="103"/>
      <c r="FE6" s="189"/>
      <c r="FG6" s="283">
        <v>1</v>
      </c>
      <c r="FH6" s="285" t="s">
        <v>169</v>
      </c>
      <c r="FI6" s="297"/>
      <c r="FJ6" s="298"/>
      <c r="FK6" s="298"/>
      <c r="FL6" s="298"/>
      <c r="FM6" s="299"/>
      <c r="FN6" s="298"/>
      <c r="FO6" s="298"/>
      <c r="FP6" s="298"/>
      <c r="FQ6" s="298"/>
      <c r="FR6" s="298"/>
      <c r="FS6" s="103"/>
      <c r="FT6" s="189"/>
      <c r="FV6" s="283">
        <v>1</v>
      </c>
      <c r="FW6" s="286" t="s">
        <v>170</v>
      </c>
      <c r="FX6" s="17">
        <v>27056.9</v>
      </c>
      <c r="FY6" s="17">
        <v>10937</v>
      </c>
      <c r="FZ6" s="17">
        <v>40000</v>
      </c>
      <c r="GA6" s="290">
        <v>77993.899999999994</v>
      </c>
      <c r="GB6" s="17">
        <v>0</v>
      </c>
      <c r="GC6" s="17">
        <v>0</v>
      </c>
      <c r="GD6" s="17">
        <v>0</v>
      </c>
      <c r="GE6" s="290">
        <f t="shared" ref="GE6:GE13" si="1">SUM(GB6:GD6)</f>
        <v>0</v>
      </c>
      <c r="GF6" s="300"/>
      <c r="GG6" s="301"/>
      <c r="GI6" s="283">
        <v>1</v>
      </c>
      <c r="GJ6" s="97" t="s">
        <v>171</v>
      </c>
      <c r="GK6" s="17">
        <v>0</v>
      </c>
      <c r="GL6" s="17">
        <v>0</v>
      </c>
      <c r="GM6" s="17">
        <v>0</v>
      </c>
      <c r="GN6" s="290">
        <f t="shared" ref="GN6:GN11" si="2">SUM(GK6:GM6)</f>
        <v>0</v>
      </c>
      <c r="GO6" s="17">
        <v>0</v>
      </c>
      <c r="GP6" s="17">
        <v>0</v>
      </c>
      <c r="GQ6" s="17">
        <v>0</v>
      </c>
      <c r="GR6" s="290">
        <f t="shared" ref="GR6:GR10" si="3">SUM(GO6:GQ6)</f>
        <v>0</v>
      </c>
      <c r="GS6" s="300"/>
      <c r="GT6" s="301"/>
      <c r="GV6" s="283">
        <v>1</v>
      </c>
      <c r="GW6" s="286" t="s">
        <v>172</v>
      </c>
      <c r="GX6" s="17">
        <v>1200</v>
      </c>
      <c r="GY6" s="17">
        <v>5864.05</v>
      </c>
      <c r="GZ6" s="17">
        <v>7336.6900000000005</v>
      </c>
      <c r="HA6" s="290">
        <f t="shared" ref="HA6:HA11" si="4">SUM(GX6:GZ6)</f>
        <v>14400.740000000002</v>
      </c>
      <c r="HB6" s="17">
        <v>1200</v>
      </c>
      <c r="HC6" s="17">
        <v>5864.05</v>
      </c>
      <c r="HD6" s="17">
        <v>7336.6899999999987</v>
      </c>
      <c r="HE6" s="17">
        <f>SUM(HB6:HD6)</f>
        <v>14400.739999999998</v>
      </c>
      <c r="HF6" s="300"/>
      <c r="HG6" s="301"/>
      <c r="HI6" s="283">
        <v>1</v>
      </c>
      <c r="HJ6" s="302" t="s">
        <v>173</v>
      </c>
      <c r="HK6" s="303">
        <v>290799436</v>
      </c>
      <c r="HL6" s="303">
        <v>621968266</v>
      </c>
      <c r="HM6" s="303">
        <v>1165621094</v>
      </c>
      <c r="HN6" s="304">
        <f>SUM(HK6:HM6)</f>
        <v>2078388796</v>
      </c>
      <c r="HO6" s="295">
        <v>294268079.81818181</v>
      </c>
      <c r="HP6" s="295">
        <v>623505438.20000005</v>
      </c>
      <c r="HQ6" s="295">
        <v>1165621094</v>
      </c>
      <c r="HR6" s="295">
        <f>SUM(HO6:HQ6)</f>
        <v>2083394612.0181818</v>
      </c>
      <c r="HS6" s="305"/>
      <c r="HW6" s="283">
        <v>1</v>
      </c>
      <c r="HX6" s="306">
        <v>1</v>
      </c>
      <c r="HY6" s="306">
        <v>10</v>
      </c>
      <c r="HZ6" s="306">
        <v>22</v>
      </c>
      <c r="IA6" s="307">
        <v>11526295</v>
      </c>
      <c r="IB6" s="308">
        <v>18846113</v>
      </c>
      <c r="IC6" s="309">
        <f t="shared" ref="IC6:IC26" si="5">HZ6/HY6</f>
        <v>2.2000000000000002</v>
      </c>
      <c r="ID6" s="309">
        <f t="shared" ref="ID6:ID26" si="6">IB6/IA6</f>
        <v>1.6350538486131059</v>
      </c>
      <c r="IE6" s="310">
        <v>1</v>
      </c>
      <c r="IF6" s="310">
        <v>0</v>
      </c>
      <c r="IG6" s="310">
        <v>0</v>
      </c>
      <c r="II6" s="141"/>
      <c r="IK6" s="311">
        <v>1</v>
      </c>
      <c r="IL6" s="312">
        <v>1</v>
      </c>
      <c r="IM6" s="313">
        <f t="shared" ref="IM6:IM26" si="7">ID6</f>
        <v>1.6350538486131059</v>
      </c>
      <c r="IN6" s="17">
        <v>0</v>
      </c>
      <c r="IO6" s="290">
        <f>IM6*IN6</f>
        <v>0</v>
      </c>
      <c r="IP6" s="17">
        <v>1254545</v>
      </c>
      <c r="IQ6" s="290">
        <v>1917604</v>
      </c>
      <c r="IR6" s="17">
        <v>513544.35600000009</v>
      </c>
      <c r="IS6" s="290">
        <v>776037</v>
      </c>
      <c r="IT6" s="17">
        <v>170395.60081036729</v>
      </c>
      <c r="IU6" s="17">
        <v>278605.98289173353</v>
      </c>
      <c r="IV6" s="17">
        <f>SUM(IN6,IR6,IT6)</f>
        <v>683939.95681036741</v>
      </c>
      <c r="IW6" s="17">
        <f>SUM(IO6,IS6,IU6)</f>
        <v>1054642.9828917335</v>
      </c>
      <c r="IX6" s="314"/>
      <c r="IY6" s="315"/>
      <c r="IZ6" s="314"/>
      <c r="JA6" s="316">
        <v>1</v>
      </c>
      <c r="JB6" s="317">
        <v>1</v>
      </c>
      <c r="JC6" s="318">
        <f t="shared" ref="JC6:JD25" si="8">IC6</f>
        <v>2.2000000000000002</v>
      </c>
      <c r="JD6" s="319">
        <f t="shared" si="8"/>
        <v>1.6350538486131059</v>
      </c>
      <c r="JE6" s="17">
        <v>218995.37041548945</v>
      </c>
      <c r="JF6" s="290">
        <f>JE6*$JD6</f>
        <v>358069.22322629875</v>
      </c>
      <c r="JG6" s="17">
        <v>18050.269800000002</v>
      </c>
      <c r="JH6" s="290">
        <f>JG6*$JD6</f>
        <v>29513.163104994921</v>
      </c>
      <c r="JI6" s="17">
        <v>186217.60978451057</v>
      </c>
      <c r="JJ6" s="290">
        <f>JI6*JC6</f>
        <v>409678.74152592331</v>
      </c>
      <c r="JK6" s="17">
        <v>324907.78929672181</v>
      </c>
      <c r="JL6" s="290">
        <v>816838.09085866832</v>
      </c>
      <c r="JM6" s="17">
        <v>4953.383799999996</v>
      </c>
      <c r="JN6" s="290">
        <f>JM6*$JD6</f>
        <v>8099.0492458478047</v>
      </c>
      <c r="JO6" s="17">
        <v>27255.312800000014</v>
      </c>
      <c r="JP6" s="290">
        <f>JO6*$JD6</f>
        <v>44563.904088794072</v>
      </c>
      <c r="JQ6" s="17">
        <v>24635.33</v>
      </c>
      <c r="JR6" s="290">
        <f>JQ6*$JD6</f>
        <v>40280.09112835391</v>
      </c>
      <c r="JS6" s="17">
        <v>108325.56174999999</v>
      </c>
      <c r="JT6" s="290">
        <f>JS6*$JD6</f>
        <v>177118.12664251414</v>
      </c>
      <c r="JU6" s="17">
        <f>JE6+JG6+JI6+JK6+JM6+JQ6+JS6+JO6</f>
        <v>913340.62764672167</v>
      </c>
      <c r="JV6" s="17">
        <f>JF6+JH6+JJ6+JL6+JN6+JR6+JT6+JP6</f>
        <v>1884160.389821395</v>
      </c>
      <c r="JW6" s="320">
        <f t="shared" ref="JW6:JW26" si="9">JV6/IB6*100</f>
        <v>9.9976074101932593</v>
      </c>
      <c r="KA6" s="283">
        <v>1</v>
      </c>
      <c r="KB6" s="306">
        <v>1</v>
      </c>
      <c r="KC6" s="97">
        <f t="shared" ref="KC6:KC25" si="10">HZ6</f>
        <v>22</v>
      </c>
      <c r="KD6" s="97">
        <f t="shared" ref="KD6:KD18" si="11">KC6</f>
        <v>22</v>
      </c>
      <c r="KE6" s="289">
        <f t="shared" ref="KE6:KE25" si="12">IB6</f>
        <v>18846113</v>
      </c>
      <c r="KF6" s="289">
        <f t="shared" ref="KF6:KF25" si="13">KE6*$KH$26</f>
        <v>19611942.568842217</v>
      </c>
      <c r="KG6" s="321">
        <f>KD6/KC6</f>
        <v>1</v>
      </c>
      <c r="KH6" s="321">
        <f>KF6/KE6</f>
        <v>1.0406359427454466</v>
      </c>
      <c r="KI6" s="321">
        <f>LZ7/LY7</f>
        <v>0.98655766811997048</v>
      </c>
      <c r="KJ6" s="306" t="s">
        <v>256</v>
      </c>
      <c r="KK6" s="322"/>
      <c r="KL6" s="323"/>
      <c r="KM6" s="322"/>
      <c r="KN6" s="283">
        <v>1</v>
      </c>
      <c r="KO6" s="306">
        <v>1</v>
      </c>
      <c r="KP6" s="324" t="str">
        <f t="shared" ref="KP6:KP25" si="14">KJ6</f>
        <v>Q3</v>
      </c>
      <c r="KQ6" s="325">
        <f t="shared" ref="KQ6:KQ26" si="15">KI6</f>
        <v>0.98655766811997048</v>
      </c>
      <c r="KR6" s="17">
        <f>IO6</f>
        <v>0</v>
      </c>
      <c r="KS6" s="17">
        <f>KR6*KI6</f>
        <v>0</v>
      </c>
      <c r="KT6" s="17">
        <f t="shared" ref="KT6:KT26" si="16">IQ6</f>
        <v>1917604</v>
      </c>
      <c r="KU6" s="17">
        <f>IB6/$IB$26*$KU$26</f>
        <v>2139908.9411763279</v>
      </c>
      <c r="KV6" s="17">
        <f t="shared" ref="KV6:KV25" si="17">IS6</f>
        <v>776037</v>
      </c>
      <c r="KW6" s="17">
        <f t="shared" ref="KW6:KW25" si="18">IB6/$IB$26*$KW$26</f>
        <v>1174698.161752417</v>
      </c>
      <c r="KX6" s="17">
        <f>IU6</f>
        <v>278605.98289173353</v>
      </c>
      <c r="KY6" s="17">
        <f>IB6/$IB$26*$KY$26</f>
        <v>42455.619171788028</v>
      </c>
      <c r="KZ6" s="17">
        <f>SUM(KR6,KV6,KX6)</f>
        <v>1054642.9828917335</v>
      </c>
      <c r="LA6" s="17">
        <f>SUM(KS6,KW6,KY6)</f>
        <v>1217153.780924205</v>
      </c>
      <c r="LB6" s="326"/>
      <c r="LC6" s="323"/>
      <c r="LD6" s="322"/>
      <c r="LE6" s="327">
        <v>1</v>
      </c>
      <c r="LF6" s="328"/>
      <c r="LG6" s="328"/>
      <c r="LH6" s="329" t="s">
        <v>174</v>
      </c>
      <c r="LI6" s="330"/>
      <c r="LJ6" s="331">
        <v>93.896890289895666</v>
      </c>
      <c r="LK6" s="332"/>
      <c r="LL6" s="331">
        <v>93.896890289895666</v>
      </c>
      <c r="LM6" s="332"/>
      <c r="LN6" s="331">
        <v>93.896890289895666</v>
      </c>
      <c r="LO6" s="332"/>
      <c r="LP6" s="331">
        <v>124.073296295623</v>
      </c>
      <c r="LQ6" s="332"/>
      <c r="LR6" s="331">
        <v>124.918518433629</v>
      </c>
      <c r="LS6" s="332"/>
      <c r="LT6" s="331">
        <v>142.81445092884499</v>
      </c>
      <c r="LU6" s="332"/>
      <c r="LV6" s="331">
        <v>117.90757601671299</v>
      </c>
      <c r="LW6" s="332"/>
      <c r="LX6" s="331">
        <v>121.988107636154</v>
      </c>
      <c r="LY6" s="330"/>
      <c r="LZ6" s="333"/>
      <c r="MA6" s="334"/>
      <c r="MB6" s="335"/>
      <c r="MD6" s="283">
        <v>1</v>
      </c>
      <c r="ME6" s="336">
        <v>1</v>
      </c>
      <c r="MF6" s="17">
        <f t="shared" ref="MF6:MG25" si="19">IV6</f>
        <v>683939.95681036741</v>
      </c>
      <c r="MG6" s="17">
        <f t="shared" si="19"/>
        <v>1054642.9828917335</v>
      </c>
      <c r="MH6" s="290">
        <f t="shared" ref="MH6:MH25" si="20">LA6</f>
        <v>1217153.780924205</v>
      </c>
      <c r="MI6" s="17">
        <f t="shared" ref="MI6:MJ25" si="21">JU6</f>
        <v>913340.62764672167</v>
      </c>
      <c r="MJ6" s="17">
        <f t="shared" si="21"/>
        <v>1884160.389821395</v>
      </c>
      <c r="MK6" s="290">
        <f>LZ7</f>
        <v>1858832.8805462101</v>
      </c>
      <c r="ML6" s="17">
        <f>MF6-MI6</f>
        <v>-229400.67083635426</v>
      </c>
      <c r="MM6" s="17">
        <f>MG6-MJ6</f>
        <v>-829517.40692966152</v>
      </c>
      <c r="MN6" s="17">
        <f>MH6-MK6</f>
        <v>-641679.09962200513</v>
      </c>
      <c r="MP6" s="337"/>
      <c r="MQ6" s="98"/>
      <c r="MR6" s="283">
        <v>1</v>
      </c>
      <c r="MS6" s="285" t="s">
        <v>175</v>
      </c>
      <c r="MT6" s="265"/>
      <c r="MU6" s="98"/>
      <c r="MV6" s="337"/>
      <c r="MW6" s="98"/>
      <c r="MX6" s="338" t="s">
        <v>135</v>
      </c>
      <c r="MY6" s="338"/>
      <c r="MZ6" s="227" t="s">
        <v>136</v>
      </c>
      <c r="NA6" s="226" t="s">
        <v>137</v>
      </c>
      <c r="NB6" s="226"/>
      <c r="NC6" s="234" t="s">
        <v>138</v>
      </c>
      <c r="ND6" s="226" t="s">
        <v>139</v>
      </c>
      <c r="NF6" s="337"/>
      <c r="NG6" s="98"/>
      <c r="NH6" s="338" t="s">
        <v>135</v>
      </c>
      <c r="NI6" s="113"/>
      <c r="NJ6" s="96"/>
      <c r="NO6" s="337"/>
      <c r="NP6" s="98"/>
    </row>
    <row r="7" spans="2:387" x14ac:dyDescent="0.3">
      <c r="B7" s="226">
        <f>B6+1</f>
        <v>2</v>
      </c>
      <c r="C7" s="339"/>
      <c r="D7" s="518" t="s">
        <v>166</v>
      </c>
      <c r="E7" s="340"/>
      <c r="F7" s="15">
        <f>HN7-F10-F11</f>
        <v>326375296.65850008</v>
      </c>
      <c r="G7" s="341">
        <f t="shared" ref="G7:G12" si="22">F7/F$24*100</f>
        <v>15.703284067284784</v>
      </c>
      <c r="H7" s="15">
        <f>HR7-H10-H11</f>
        <v>322622284.32787216</v>
      </c>
      <c r="I7" s="342">
        <f t="shared" ref="I7:I12" si="23">H7/H$24*100</f>
        <v>15.485414163347016</v>
      </c>
      <c r="J7" s="343">
        <f>H7-F7</f>
        <v>-3753012.3306279182</v>
      </c>
      <c r="K7" s="15">
        <f>K8+K9</f>
        <v>324392392</v>
      </c>
      <c r="L7" s="342">
        <f t="shared" ref="L7:L12" si="24">K7/K$24*100</f>
        <v>15.355887069393029</v>
      </c>
      <c r="M7" s="343">
        <f>K7-H7</f>
        <v>1770107.6721278429</v>
      </c>
      <c r="N7" s="15">
        <f>N8+N9</f>
        <v>371540376.1521095</v>
      </c>
      <c r="O7" s="342">
        <f t="shared" ref="O7:O12" si="25">N7/N$24*100</f>
        <v>16.900962723573901</v>
      </c>
      <c r="P7" s="343">
        <f>N7-K7</f>
        <v>47147984.152109504</v>
      </c>
      <c r="Q7" s="15">
        <f>N7-F7</f>
        <v>45165079.493609428</v>
      </c>
      <c r="R7" s="344">
        <f>O7/G7-1</f>
        <v>7.6269311002549189E-2</v>
      </c>
      <c r="V7" s="249">
        <f>V6+1</f>
        <v>1</v>
      </c>
      <c r="W7" s="345" t="s">
        <v>176</v>
      </c>
      <c r="X7" s="20">
        <v>-230802.10374195941</v>
      </c>
      <c r="Y7" s="20">
        <v>1676841.6676000003</v>
      </c>
      <c r="Z7" s="20">
        <v>3899001.5918000019</v>
      </c>
      <c r="AA7" s="20">
        <f>SUM(X7:Z7)</f>
        <v>5345041.155658043</v>
      </c>
      <c r="AB7" s="20"/>
      <c r="AF7" s="249">
        <v>1</v>
      </c>
      <c r="AG7" s="346" t="s">
        <v>78</v>
      </c>
      <c r="AH7" s="105">
        <f>CM9</f>
        <v>1768304.2516944832</v>
      </c>
      <c r="AI7" s="105">
        <f>CZ9</f>
        <v>110734.90699999999</v>
      </c>
      <c r="AJ7" s="347">
        <f>DJ9</f>
        <v>530227.1121017714</v>
      </c>
      <c r="AN7" s="338">
        <v>2</v>
      </c>
      <c r="AO7" s="96"/>
      <c r="AQ7" s="518" t="s">
        <v>166</v>
      </c>
      <c r="AR7" s="340"/>
      <c r="AS7" s="348">
        <v>120302111.8284</v>
      </c>
      <c r="AT7" s="349">
        <v>11.731293175407233</v>
      </c>
      <c r="AU7" s="350"/>
      <c r="AV7" s="348">
        <v>126126278.56186666</v>
      </c>
      <c r="AW7" s="349">
        <v>11.687249674641077</v>
      </c>
      <c r="AX7" s="351">
        <f>AW7/AT7-1</f>
        <v>-3.754360248918287E-3</v>
      </c>
      <c r="AY7" s="350"/>
      <c r="AZ7" s="348">
        <v>150728360.25</v>
      </c>
      <c r="BA7" s="349">
        <v>11.683129983994691</v>
      </c>
      <c r="BB7" s="351">
        <f>BA7/AW7-1</f>
        <v>-3.5249445002660806E-4</v>
      </c>
      <c r="BC7" s="350"/>
      <c r="BD7" s="348">
        <v>171227908</v>
      </c>
      <c r="BE7" s="349">
        <v>11.643318740549148</v>
      </c>
      <c r="BF7" s="351">
        <f>BE7/BA7-1</f>
        <v>-3.407583712590978E-3</v>
      </c>
      <c r="BG7" s="350"/>
      <c r="BH7" s="348">
        <v>176109569.11769998</v>
      </c>
      <c r="BI7" s="349">
        <v>11.588889837145976</v>
      </c>
      <c r="BJ7" s="351">
        <f>BI7/BE7-1</f>
        <v>-4.6746898041721829E-3</v>
      </c>
      <c r="BK7" s="350"/>
      <c r="BL7" s="348">
        <v>240705114.20000002</v>
      </c>
      <c r="BM7" s="349">
        <v>14.309535452395124</v>
      </c>
      <c r="BN7" s="351">
        <f>BM7/BI7-1</f>
        <v>0.23476326494438138</v>
      </c>
      <c r="BO7" s="350"/>
      <c r="BP7" s="348">
        <v>290609169.1400001</v>
      </c>
      <c r="BQ7" s="349">
        <v>15.66802926667919</v>
      </c>
      <c r="BR7" s="351">
        <f>BQ7/BM7-1</f>
        <v>9.4936262522532289E-2</v>
      </c>
      <c r="BS7" s="350"/>
      <c r="BT7" s="518">
        <v>313797305.58539999</v>
      </c>
      <c r="BU7" s="518">
        <v>15.993295780429609</v>
      </c>
      <c r="BV7" s="518">
        <f>BU7/BQ7-1</f>
        <v>2.0759886786920534E-2</v>
      </c>
      <c r="BW7" s="15">
        <v>311488574.40979999</v>
      </c>
      <c r="BX7" s="16">
        <v>16.091667659507319</v>
      </c>
      <c r="BY7" s="16">
        <f>BX7/BU7-1</f>
        <v>6.15081972022824E-3</v>
      </c>
      <c r="BZ7" s="16">
        <v>328676461.76159996</v>
      </c>
      <c r="CA7" s="16">
        <v>16.112403825565277</v>
      </c>
      <c r="CB7" s="16">
        <f>CA7/BX7-1</f>
        <v>1.2886275367305355E-3</v>
      </c>
      <c r="CC7" s="15">
        <f t="shared" ref="CC7:CD10" si="26">F7</f>
        <v>326375296.65850008</v>
      </c>
      <c r="CD7" s="16">
        <f t="shared" si="26"/>
        <v>15.703284067284784</v>
      </c>
      <c r="CE7" s="352">
        <f>CD7/CA7-1</f>
        <v>-2.5391602811701497E-2</v>
      </c>
      <c r="CF7" s="353">
        <f>CC7/AS7-1</f>
        <v>1.712963984572812</v>
      </c>
      <c r="CG7" s="352">
        <f>(CF7+1)^(1/(2022-2004))-1</f>
        <v>5.701274482339147E-2</v>
      </c>
      <c r="CK7" s="338">
        <v>2</v>
      </c>
      <c r="CL7" s="354" t="s">
        <v>70</v>
      </c>
      <c r="CM7" s="355">
        <v>540922.95217162615</v>
      </c>
      <c r="CN7" s="20">
        <v>9819424.8602000009</v>
      </c>
      <c r="CO7" s="20">
        <v>1620681.3805000002</v>
      </c>
      <c r="CP7" s="343">
        <f>CO7+CN7</f>
        <v>11440106.240700001</v>
      </c>
      <c r="CQ7" s="355">
        <v>541980.73717162607</v>
      </c>
      <c r="CR7" s="20">
        <v>9837708.0032399986</v>
      </c>
      <c r="CS7" s="20">
        <v>1210007.2553475637</v>
      </c>
      <c r="CT7" s="20">
        <f>CS7+CR7</f>
        <v>11047715.258587562</v>
      </c>
      <c r="CU7" s="291"/>
      <c r="CV7" s="106"/>
      <c r="CX7" s="338">
        <v>2</v>
      </c>
      <c r="CY7" s="356" t="s">
        <v>70</v>
      </c>
      <c r="CZ7" s="105">
        <v>22837.065999999999</v>
      </c>
      <c r="DA7" s="357">
        <v>462836.85349999991</v>
      </c>
      <c r="DB7" s="105">
        <v>22840.665999999997</v>
      </c>
      <c r="DC7" s="20">
        <v>462892.65350000001</v>
      </c>
      <c r="DD7" s="20">
        <v>462892.6534999999</v>
      </c>
      <c r="DF7" s="106"/>
      <c r="DH7" s="338">
        <v>2</v>
      </c>
      <c r="DI7" s="356" t="s">
        <v>70</v>
      </c>
      <c r="DJ7" s="105">
        <v>171122.55001421802</v>
      </c>
      <c r="DK7" s="357">
        <v>5190526.0488</v>
      </c>
      <c r="DL7" s="105">
        <v>172014.32501421802</v>
      </c>
      <c r="DM7" s="358">
        <v>5622503.1129124369</v>
      </c>
      <c r="DQ7" s="338">
        <v>2</v>
      </c>
      <c r="DR7" s="359" t="s">
        <v>177</v>
      </c>
      <c r="DS7" s="20">
        <v>403477.63</v>
      </c>
      <c r="DT7" s="20">
        <v>460799.89</v>
      </c>
      <c r="DU7" s="20">
        <v>254199.13</v>
      </c>
      <c r="DV7" s="20">
        <v>1118476.6499999999</v>
      </c>
      <c r="DW7" s="15"/>
      <c r="DX7" s="20"/>
      <c r="DY7" s="20"/>
      <c r="DZ7" s="20"/>
      <c r="ED7" s="338">
        <v>2</v>
      </c>
      <c r="EE7" s="340" t="s">
        <v>178</v>
      </c>
      <c r="EF7" s="20">
        <v>65167.883999999998</v>
      </c>
      <c r="EG7" s="20">
        <v>886859.10999999987</v>
      </c>
      <c r="EH7" s="20">
        <v>2058497.3399999999</v>
      </c>
      <c r="EI7" s="343">
        <f>SUM(EF7:EH7)</f>
        <v>3010524.3339999998</v>
      </c>
      <c r="EJ7" s="20">
        <v>65167.884000000005</v>
      </c>
      <c r="EK7" s="20">
        <v>886859.1100000001</v>
      </c>
      <c r="EL7" s="20">
        <v>2058497.3400000003</v>
      </c>
      <c r="EM7" s="20">
        <f>SUM(EJ7:EL7)</f>
        <v>3010524.3340000003</v>
      </c>
      <c r="EN7" s="103"/>
      <c r="EO7" s="106"/>
      <c r="EQ7" s="338">
        <v>2</v>
      </c>
      <c r="ER7" s="340" t="s">
        <v>178</v>
      </c>
      <c r="ES7" s="20">
        <v>74943.56</v>
      </c>
      <c r="ET7" s="20">
        <v>93660.9</v>
      </c>
      <c r="EU7" s="20">
        <v>304468.08999999997</v>
      </c>
      <c r="EV7" s="343">
        <f>SUM(ES7:EU7)</f>
        <v>473072.54999999993</v>
      </c>
      <c r="EW7" s="20">
        <v>72151.375681818186</v>
      </c>
      <c r="EX7" s="20">
        <v>91744.566666666666</v>
      </c>
      <c r="EY7" s="20">
        <v>283929.38066666666</v>
      </c>
      <c r="EZ7" s="343">
        <f>SUM(EW7:EY7)</f>
        <v>447825.32301515155</v>
      </c>
      <c r="FA7" s="20">
        <f t="shared" si="0"/>
        <v>319869.22406621045</v>
      </c>
      <c r="FB7" s="20">
        <f>(EZ7/$EZ$9)*$FB$9</f>
        <v>128104.0994122023</v>
      </c>
      <c r="FC7" s="20">
        <f t="shared" ref="FC7:FC9" si="27">SUM(FA7:FB7)</f>
        <v>447973.32347841276</v>
      </c>
      <c r="FD7" s="103"/>
      <c r="FE7" s="106"/>
      <c r="FG7" s="338">
        <v>2</v>
      </c>
      <c r="FH7" s="360"/>
      <c r="FI7" s="361" t="s">
        <v>179</v>
      </c>
      <c r="FJ7" s="20">
        <v>182933.261</v>
      </c>
      <c r="FK7" s="20">
        <v>225954.03999999998</v>
      </c>
      <c r="FL7" s="20">
        <v>498555.36999999994</v>
      </c>
      <c r="FM7" s="343">
        <f t="shared" ref="FM7:FM20" si="28">FJ7+FL7+FK7</f>
        <v>907442.67099999986</v>
      </c>
      <c r="FN7" s="20">
        <v>185562.03433333334</v>
      </c>
      <c r="FO7" s="20">
        <v>226230.83999999997</v>
      </c>
      <c r="FP7" s="20">
        <v>498555.36999999994</v>
      </c>
      <c r="FQ7" s="20">
        <v>910348.24433333334</v>
      </c>
      <c r="FR7" s="20">
        <v>910348.24433333334</v>
      </c>
      <c r="FS7" s="300"/>
      <c r="FT7" s="95"/>
      <c r="FV7" s="338">
        <v>2</v>
      </c>
      <c r="FW7" s="340" t="s">
        <v>180</v>
      </c>
      <c r="FX7" s="20">
        <v>14732.02</v>
      </c>
      <c r="FY7" s="20">
        <v>2654</v>
      </c>
      <c r="FZ7" s="20">
        <v>0</v>
      </c>
      <c r="GA7" s="343">
        <v>17386.02</v>
      </c>
      <c r="GB7" s="20">
        <v>0</v>
      </c>
      <c r="GC7" s="20">
        <v>0</v>
      </c>
      <c r="GD7" s="20">
        <v>0</v>
      </c>
      <c r="GE7" s="343">
        <f t="shared" si="1"/>
        <v>0</v>
      </c>
      <c r="GF7" s="300"/>
      <c r="GG7" s="301"/>
      <c r="GI7" s="338">
        <v>2</v>
      </c>
      <c r="GJ7" s="362" t="s">
        <v>181</v>
      </c>
      <c r="GK7" s="20">
        <v>0</v>
      </c>
      <c r="GL7" s="20">
        <v>0</v>
      </c>
      <c r="GM7" s="20">
        <v>0</v>
      </c>
      <c r="GN7" s="343">
        <f t="shared" si="2"/>
        <v>0</v>
      </c>
      <c r="GO7" s="20">
        <v>0</v>
      </c>
      <c r="GP7" s="20">
        <v>0</v>
      </c>
      <c r="GQ7" s="20">
        <v>0</v>
      </c>
      <c r="GR7" s="343">
        <f t="shared" si="3"/>
        <v>0</v>
      </c>
      <c r="GS7" s="300"/>
      <c r="GT7" s="301"/>
      <c r="GV7" s="338">
        <v>2</v>
      </c>
      <c r="GW7" s="340" t="s">
        <v>182</v>
      </c>
      <c r="GX7" s="20">
        <v>27580.2</v>
      </c>
      <c r="GY7" s="20">
        <v>47921.2</v>
      </c>
      <c r="GZ7" s="20">
        <v>186977.88999999998</v>
      </c>
      <c r="HA7" s="343">
        <f t="shared" si="4"/>
        <v>262479.28999999998</v>
      </c>
      <c r="HB7" s="20">
        <v>0</v>
      </c>
      <c r="HC7" s="20">
        <v>0</v>
      </c>
      <c r="HD7" s="20">
        <v>0</v>
      </c>
      <c r="HE7" s="20">
        <v>0</v>
      </c>
      <c r="HF7" s="300"/>
      <c r="HG7" s="301"/>
      <c r="HI7" s="338">
        <v>2</v>
      </c>
      <c r="HJ7" s="363" t="s">
        <v>166</v>
      </c>
      <c r="HK7" s="20">
        <v>47236332.827358045</v>
      </c>
      <c r="HL7" s="20">
        <v>99374623.267200008</v>
      </c>
      <c r="HM7" s="20">
        <v>186734914.08160001</v>
      </c>
      <c r="HN7" s="343">
        <f>SUM(HK7:HM7)</f>
        <v>333345870.17615807</v>
      </c>
      <c r="HO7" s="20">
        <v>45358766.83995606</v>
      </c>
      <c r="HP7" s="20">
        <v>97716155.907619998</v>
      </c>
      <c r="HQ7" s="20">
        <v>184313460.52160001</v>
      </c>
      <c r="HR7" s="20">
        <f>SUM(HO7:HQ7)</f>
        <v>327388383.26917607</v>
      </c>
      <c r="HW7" s="338">
        <v>2</v>
      </c>
      <c r="HX7" s="322">
        <v>2</v>
      </c>
      <c r="HY7" s="322">
        <v>10</v>
      </c>
      <c r="HZ7" s="322">
        <v>9</v>
      </c>
      <c r="IA7" s="347">
        <v>15226542</v>
      </c>
      <c r="IB7" s="347">
        <v>13620382</v>
      </c>
      <c r="IC7" s="342">
        <f t="shared" si="5"/>
        <v>0.9</v>
      </c>
      <c r="ID7" s="342">
        <f t="shared" si="6"/>
        <v>0.89451577383755287</v>
      </c>
      <c r="IE7" s="344">
        <v>1</v>
      </c>
      <c r="IF7" s="344">
        <v>0</v>
      </c>
      <c r="IG7" s="344">
        <v>0</v>
      </c>
      <c r="II7" s="208"/>
      <c r="IK7" s="364">
        <v>2</v>
      </c>
      <c r="IL7" s="365">
        <v>2</v>
      </c>
      <c r="IM7" s="341">
        <f t="shared" si="7"/>
        <v>0.89451577383755287</v>
      </c>
      <c r="IN7" s="20">
        <v>0</v>
      </c>
      <c r="IO7" s="343">
        <f t="shared" ref="IO7:IO25" si="29">IM7*IN7</f>
        <v>0</v>
      </c>
      <c r="IP7" s="20">
        <v>1675007</v>
      </c>
      <c r="IQ7" s="343">
        <v>1500074</v>
      </c>
      <c r="IR7" s="20">
        <v>691463.46779999998</v>
      </c>
      <c r="IS7" s="343">
        <v>617536</v>
      </c>
      <c r="IT7" s="20">
        <v>217265.44049354317</v>
      </c>
      <c r="IU7" s="20">
        <v>194385.98130609185</v>
      </c>
      <c r="IV7" s="20">
        <f t="shared" ref="IV7:IW25" si="30">SUM(IN7,IR7,IT7)</f>
        <v>908728.90829354315</v>
      </c>
      <c r="IW7" s="20">
        <f t="shared" si="30"/>
        <v>811921.98130609188</v>
      </c>
      <c r="IX7" s="314"/>
      <c r="IY7" s="315"/>
      <c r="IZ7" s="314"/>
      <c r="JA7" s="366">
        <v>2</v>
      </c>
      <c r="JB7" s="365">
        <v>2</v>
      </c>
      <c r="JC7" s="367">
        <f t="shared" si="8"/>
        <v>0.9</v>
      </c>
      <c r="JD7" s="368">
        <f t="shared" si="8"/>
        <v>0.89451577383755287</v>
      </c>
      <c r="JE7" s="20">
        <v>384379.79883572698</v>
      </c>
      <c r="JF7" s="343">
        <f>JE7*$JD7</f>
        <v>343833.79320306325</v>
      </c>
      <c r="JG7" s="20">
        <v>15229.213</v>
      </c>
      <c r="JH7" s="343">
        <f t="shared" ref="JH7:JH25" si="31">JG7*$JD7</f>
        <v>13622.771251631921</v>
      </c>
      <c r="JI7" s="20">
        <v>130114.52976427312</v>
      </c>
      <c r="JJ7" s="343">
        <f t="shared" ref="JJ7:JJ25" si="32">JI7*JC7</f>
        <v>117103.07678784581</v>
      </c>
      <c r="JK7" s="20">
        <v>338384.66274016834</v>
      </c>
      <c r="JL7" s="343">
        <v>313094.17698303401</v>
      </c>
      <c r="JM7" s="20">
        <v>63787.200800000013</v>
      </c>
      <c r="JN7" s="343">
        <f t="shared" ref="JN7:JN24" si="33">JM7*$JD7</f>
        <v>57058.657284543384</v>
      </c>
      <c r="JO7" s="20">
        <v>16205.010000000002</v>
      </c>
      <c r="JP7" s="343">
        <f t="shared" ref="JP7:JP25" si="34">JO7*$JD7</f>
        <v>14495.637060195284</v>
      </c>
      <c r="JQ7" s="20">
        <v>44486.950000000004</v>
      </c>
      <c r="JR7" s="343">
        <f t="shared" ref="JR7:JR25" si="35">JQ7*$JD7</f>
        <v>39794.278504922528</v>
      </c>
      <c r="JS7" s="20">
        <v>145665.37959999999</v>
      </c>
      <c r="JT7" s="343">
        <f t="shared" ref="JT7:JT25" si="36">JS7*$JD7</f>
        <v>130299.97975423488</v>
      </c>
      <c r="JU7" s="20">
        <f t="shared" ref="JU7:JV26" si="37">JE7+JG7+JI7+JK7+JM7+JQ7+JS7+JO7</f>
        <v>1138252.7447401683</v>
      </c>
      <c r="JV7" s="20">
        <f t="shared" si="37"/>
        <v>1029302.370829471</v>
      </c>
      <c r="JW7" s="369">
        <f t="shared" si="9"/>
        <v>7.5570741762563713</v>
      </c>
      <c r="KA7" s="338">
        <v>2</v>
      </c>
      <c r="KB7" s="322">
        <v>2</v>
      </c>
      <c r="KC7" s="518">
        <f t="shared" si="10"/>
        <v>9</v>
      </c>
      <c r="KD7" s="518">
        <f t="shared" si="11"/>
        <v>9</v>
      </c>
      <c r="KE7" s="370">
        <f t="shared" si="12"/>
        <v>13620382</v>
      </c>
      <c r="KF7" s="370">
        <f t="shared" si="13"/>
        <v>14173859.063123111</v>
      </c>
      <c r="KG7" s="371">
        <f t="shared" ref="KG7:KG26" si="38">KD7/KC7</f>
        <v>1</v>
      </c>
      <c r="KH7" s="371">
        <f t="shared" ref="KH7:KH26" si="39">KF7/KE7</f>
        <v>1.0406359427454466</v>
      </c>
      <c r="KI7" s="371">
        <f t="shared" ref="KI7:KI25" si="40">LZ8/LY8</f>
        <v>0.99063218787363672</v>
      </c>
      <c r="KJ7" s="322" t="s">
        <v>256</v>
      </c>
      <c r="KK7" s="322"/>
      <c r="KL7" s="323"/>
      <c r="KM7" s="322"/>
      <c r="KN7" s="338">
        <v>2</v>
      </c>
      <c r="KO7" s="322">
        <v>2</v>
      </c>
      <c r="KP7" s="372" t="str">
        <f t="shared" si="14"/>
        <v>Q3</v>
      </c>
      <c r="KQ7" s="373">
        <f t="shared" si="15"/>
        <v>0.99063218787363672</v>
      </c>
      <c r="KR7" s="358">
        <f t="shared" ref="KR7:KR25" si="41">IO7</f>
        <v>0</v>
      </c>
      <c r="KS7" s="358">
        <f t="shared" ref="KS7:KS25" si="42">KR7*KI7</f>
        <v>0</v>
      </c>
      <c r="KT7" s="358">
        <f t="shared" si="16"/>
        <v>1500074</v>
      </c>
      <c r="KU7" s="358">
        <f t="shared" ref="KU7:KU25" si="43">IB7/$IB$26*$KU$26</f>
        <v>1546545.8168502497</v>
      </c>
      <c r="KV7" s="358">
        <f t="shared" si="17"/>
        <v>617536</v>
      </c>
      <c r="KW7" s="358">
        <f t="shared" si="18"/>
        <v>848972.8199000879</v>
      </c>
      <c r="KX7" s="358">
        <f t="shared" ref="KX7:KX25" si="44">IU7</f>
        <v>194385.98130609185</v>
      </c>
      <c r="KY7" s="358">
        <f t="shared" ref="KY7:KY25" si="45">IB7/$IB$26*$KY$26</f>
        <v>30683.343093946034</v>
      </c>
      <c r="KZ7" s="358">
        <f t="shared" ref="KZ7:LA25" si="46">SUM(KR7,KV7,KX7)</f>
        <v>811921.98130609188</v>
      </c>
      <c r="LA7" s="358">
        <f t="shared" si="46"/>
        <v>879656.16299403389</v>
      </c>
      <c r="LB7" s="326"/>
      <c r="LC7" s="323"/>
      <c r="LD7" s="322"/>
      <c r="LE7" s="374">
        <f>LE6+1</f>
        <v>2</v>
      </c>
      <c r="LF7" s="375">
        <v>1</v>
      </c>
      <c r="LG7" s="376">
        <f>KG6</f>
        <v>1</v>
      </c>
      <c r="LH7" s="376">
        <f>KH6</f>
        <v>1.0406359427454466</v>
      </c>
      <c r="LI7" s="377">
        <v>106.45762205358784</v>
      </c>
      <c r="LJ7" s="290">
        <f>JF6*LJ$6/LI7*LH7</f>
        <v>328655.01559582079</v>
      </c>
      <c r="LK7" s="377">
        <v>106.45762205358784</v>
      </c>
      <c r="LL7" s="290">
        <f t="shared" ref="LL7:LL26" si="47">JH6*LL$6/LK7*LH7</f>
        <v>27088.753937458503</v>
      </c>
      <c r="LM7" s="377">
        <v>106.45762205358784</v>
      </c>
      <c r="LN7" s="290">
        <f t="shared" ref="LN7:LN26" si="48">JJ6*LN$6/LM7*LG7</f>
        <v>361341.52825430036</v>
      </c>
      <c r="LO7" s="377">
        <v>118.614283549666</v>
      </c>
      <c r="LP7" s="290">
        <f>JL6*LP$6/LO7*LG7</f>
        <v>854431.6202038381</v>
      </c>
      <c r="LQ7" s="377">
        <v>119.48337591187899</v>
      </c>
      <c r="LR7" s="290">
        <f t="shared" ref="LR7:LR26" si="49">JN6*LR$6/LQ7*LH7</f>
        <v>8811.5478036669592</v>
      </c>
      <c r="LS7" s="377">
        <v>157.07111615098</v>
      </c>
      <c r="LT7" s="290">
        <f t="shared" ref="LT7:LT26" si="50">JP6*LT$6/LS7*LH7</f>
        <v>42165.560482023975</v>
      </c>
      <c r="LU7" s="377">
        <v>112.15574935818501</v>
      </c>
      <c r="LV7" s="290">
        <f t="shared" ref="LV7:LV26" si="51">JR6*LV$6/LU7*$LH7</f>
        <v>44066.589112499103</v>
      </c>
      <c r="LW7" s="377">
        <v>116.939890710382</v>
      </c>
      <c r="LX7" s="378">
        <f t="shared" ref="LX7:LX26" si="52">JT6*LX$6/LW7*$LH7</f>
        <v>192272.26515660234</v>
      </c>
      <c r="LY7" s="379">
        <f t="shared" ref="LY7:LY26" si="53">JV6</f>
        <v>1884160.389821395</v>
      </c>
      <c r="LZ7" s="379">
        <f>LJ7+LL7+LN7+LP7+LR7+LV7+LX7+LT7</f>
        <v>1858832.8805462101</v>
      </c>
      <c r="MA7" s="103"/>
      <c r="MB7" s="335"/>
      <c r="MD7" s="338">
        <v>2</v>
      </c>
      <c r="ME7" s="380">
        <v>2</v>
      </c>
      <c r="MF7" s="20">
        <f t="shared" si="19"/>
        <v>908728.90829354315</v>
      </c>
      <c r="MG7" s="20">
        <f t="shared" si="19"/>
        <v>811921.98130609188</v>
      </c>
      <c r="MH7" s="343">
        <f t="shared" si="20"/>
        <v>879656.16299403389</v>
      </c>
      <c r="MI7" s="20">
        <f t="shared" si="21"/>
        <v>1138252.7447401683</v>
      </c>
      <c r="MJ7" s="20">
        <f t="shared" si="21"/>
        <v>1029302.370829471</v>
      </c>
      <c r="MK7" s="343">
        <f t="shared" ref="MK7:MK25" si="54">LZ8</f>
        <v>1019660.0595983203</v>
      </c>
      <c r="ML7" s="15">
        <f t="shared" ref="ML7:MN26" si="55">MF7-MI7</f>
        <v>-229523.83644662518</v>
      </c>
      <c r="MM7" s="20">
        <f t="shared" si="55"/>
        <v>-217380.38952337916</v>
      </c>
      <c r="MN7" s="20">
        <f t="shared" si="55"/>
        <v>-140003.89660428639</v>
      </c>
      <c r="MP7" s="337"/>
      <c r="MQ7" s="98"/>
      <c r="MR7" s="338">
        <f>MR6+1</f>
        <v>2</v>
      </c>
      <c r="MS7" s="346" t="s">
        <v>183</v>
      </c>
      <c r="MT7" s="20">
        <v>93608877.605802789</v>
      </c>
      <c r="MU7" s="98"/>
      <c r="MV7" s="337"/>
      <c r="MW7" s="98"/>
      <c r="MX7" s="283">
        <v>1</v>
      </c>
      <c r="MY7" s="285" t="s">
        <v>166</v>
      </c>
      <c r="MZ7" s="17">
        <f>N7</f>
        <v>371540376.1521095</v>
      </c>
      <c r="NA7" s="381">
        <f t="shared" ref="NA7:NA12" si="56">MZ7/$MZ$34*100</f>
        <v>16.900962723573901</v>
      </c>
      <c r="NB7" s="97"/>
      <c r="NC7" s="18">
        <f>NC8+NC9</f>
        <v>348156130.75876474</v>
      </c>
      <c r="ND7" s="381">
        <f t="shared" ref="ND7:ND12" si="57">NC7/$ND$34*100</f>
        <v>15.837239141752416</v>
      </c>
      <c r="NF7" s="337"/>
      <c r="NG7" s="98"/>
      <c r="NH7" s="283">
        <v>1</v>
      </c>
      <c r="NI7" s="285" t="str">
        <f t="shared" ref="NI7:NI21" si="58">MY7</f>
        <v>Revenue</v>
      </c>
      <c r="NJ7" s="17">
        <v>341824682.26215607</v>
      </c>
      <c r="NK7" s="17">
        <f>MZ7</f>
        <v>371540376.1521095</v>
      </c>
      <c r="NL7" s="17">
        <f>NK7-NJ7</f>
        <v>29715693.889953434</v>
      </c>
      <c r="NM7" s="383">
        <f>NL7/NJ7</f>
        <v>8.693255762953811E-2</v>
      </c>
      <c r="NO7" s="337"/>
      <c r="NP7" s="98"/>
    </row>
    <row r="8" spans="2:387" x14ac:dyDescent="0.3">
      <c r="B8" s="265">
        <f>B7+1</f>
        <v>3</v>
      </c>
      <c r="C8" s="384"/>
      <c r="D8" s="97"/>
      <c r="E8" s="286" t="s">
        <v>184</v>
      </c>
      <c r="F8" s="18">
        <f>HN8</f>
        <v>228950330.75</v>
      </c>
      <c r="G8" s="313">
        <f t="shared" si="22"/>
        <v>11.015760438596976</v>
      </c>
      <c r="H8" s="18">
        <f>HR8</f>
        <v>229512596.2469697</v>
      </c>
      <c r="I8" s="309">
        <f t="shared" si="23"/>
        <v>11.016280589525049</v>
      </c>
      <c r="J8" s="290">
        <f t="shared" ref="J8:J22" si="59">H8-F8</f>
        <v>562265.49696969986</v>
      </c>
      <c r="K8" s="18">
        <f>IQ26</f>
        <v>229425276</v>
      </c>
      <c r="L8" s="309">
        <f t="shared" si="24"/>
        <v>10.860392278004865</v>
      </c>
      <c r="M8" s="290">
        <f t="shared" ref="M8:M22" si="60">K8-H8</f>
        <v>-87320.24696969986</v>
      </c>
      <c r="N8" s="18">
        <f>KU26</f>
        <v>239866309.41368827</v>
      </c>
      <c r="O8" s="309">
        <f t="shared" si="25"/>
        <v>10.911254373016739</v>
      </c>
      <c r="P8" s="290">
        <f t="shared" ref="P8:P22" si="61">N8-K8</f>
        <v>10441033.413688272</v>
      </c>
      <c r="Q8" s="18">
        <f t="shared" ref="Q8:Q22" si="62">N8-F8</f>
        <v>10915978.663688272</v>
      </c>
      <c r="R8" s="310">
        <f t="shared" ref="R8:R22" si="63">O8/G8-1</f>
        <v>-9.4869588134894878E-3</v>
      </c>
      <c r="V8" s="385">
        <f t="shared" ref="V8:V20" si="64">V7+1</f>
        <v>2</v>
      </c>
      <c r="W8" s="386" t="s">
        <v>185</v>
      </c>
      <c r="X8" s="387">
        <f>X7/F$24*100</f>
        <v>-1.1104857002027421E-2</v>
      </c>
      <c r="Y8" s="309">
        <f>Y7/F$24*100</f>
        <v>8.0679883899836047E-2</v>
      </c>
      <c r="Z8" s="309">
        <f>Z7/F$24*100</f>
        <v>0.18759731573341304</v>
      </c>
      <c r="AA8" s="309">
        <f>AA7/F$24*100</f>
        <v>0.25717234263122168</v>
      </c>
      <c r="AB8" s="342"/>
      <c r="AC8" s="348"/>
      <c r="AF8" s="385">
        <f>AF7+1</f>
        <v>2</v>
      </c>
      <c r="AG8" s="388" t="s">
        <v>186</v>
      </c>
      <c r="AH8" s="389">
        <f>AH7*3600/F$24</f>
        <v>3.0628991641755077</v>
      </c>
      <c r="AI8" s="389">
        <f>AI7*3600/F$24</f>
        <v>0.19180514539301818</v>
      </c>
      <c r="AJ8" s="389">
        <f>AJ7*3600/F$24</f>
        <v>0.91841218892250864</v>
      </c>
      <c r="AN8" s="283">
        <v>3</v>
      </c>
      <c r="AO8" s="390"/>
      <c r="AP8" s="97"/>
      <c r="AQ8" s="391" t="s">
        <v>184</v>
      </c>
      <c r="AR8" s="286"/>
      <c r="AS8" s="392">
        <v>79503570.349999994</v>
      </c>
      <c r="AT8" s="393">
        <v>7.7528122997362363</v>
      </c>
      <c r="AU8" s="394"/>
      <c r="AV8" s="392">
        <v>82983136.416666657</v>
      </c>
      <c r="AW8" s="393">
        <v>7.689473162491363</v>
      </c>
      <c r="AX8" s="383">
        <f>AW8/AT8-1</f>
        <v>-8.1698272570107644E-3</v>
      </c>
      <c r="AY8" s="394"/>
      <c r="AZ8" s="392">
        <v>98672863.5</v>
      </c>
      <c r="BA8" s="393">
        <v>7.6482480685877787</v>
      </c>
      <c r="BB8" s="383">
        <f>BA8/AW8-1</f>
        <v>-5.3612377639442599E-3</v>
      </c>
      <c r="BC8" s="394"/>
      <c r="BD8" s="392">
        <v>111397202</v>
      </c>
      <c r="BE8" s="393">
        <v>7.5748932801967008</v>
      </c>
      <c r="BF8" s="383">
        <f>BE8/BA8-1</f>
        <v>-9.5910576818701854E-3</v>
      </c>
      <c r="BG8" s="394"/>
      <c r="BH8" s="392">
        <v>116322907.89166664</v>
      </c>
      <c r="BI8" s="393">
        <v>7.6546287169214136</v>
      </c>
      <c r="BJ8" s="383">
        <f>BI8/BE8-1</f>
        <v>1.0526278559351843E-2</v>
      </c>
      <c r="BK8" s="394"/>
      <c r="BL8" s="392">
        <v>174683793.20000002</v>
      </c>
      <c r="BM8" s="393">
        <v>10.384673130282241</v>
      </c>
      <c r="BN8" s="383">
        <f>BM8/BI8-1</f>
        <v>0.35665275408143038</v>
      </c>
      <c r="BO8" s="394"/>
      <c r="BP8" s="392">
        <v>208646041.65000004</v>
      </c>
      <c r="BQ8" s="393">
        <v>11.249033527135891</v>
      </c>
      <c r="BR8" s="383">
        <f>BQ8/BM8-1</f>
        <v>8.3234242042065976E-2</v>
      </c>
      <c r="BS8" s="394"/>
      <c r="BT8" s="97">
        <v>219246568.60000002</v>
      </c>
      <c r="BU8" s="97">
        <v>11.174331831570692</v>
      </c>
      <c r="BV8" s="97">
        <f>BU8/BQ8-1</f>
        <v>-6.6407212126265991E-3</v>
      </c>
      <c r="BW8" s="18">
        <v>215103150.44999999</v>
      </c>
      <c r="BX8" s="19">
        <v>11.112344701929782</v>
      </c>
      <c r="BY8" s="19">
        <f t="shared" ref="BY8:BY20" si="65">BX8/BU8-1</f>
        <v>-5.5472784033295808E-3</v>
      </c>
      <c r="BZ8" s="19">
        <v>224292117.40000001</v>
      </c>
      <c r="CA8" s="19">
        <v>10.99526613822796</v>
      </c>
      <c r="CB8" s="19">
        <f t="shared" ref="CB8:CB20" si="66">CA8/BX8-1</f>
        <v>-1.0535901003996928E-2</v>
      </c>
      <c r="CC8" s="18">
        <f t="shared" si="26"/>
        <v>228950330.75</v>
      </c>
      <c r="CD8" s="19">
        <f t="shared" si="26"/>
        <v>11.015760438596976</v>
      </c>
      <c r="CE8" s="395">
        <f t="shared" ref="CE8:CE11" si="67">CD8/CA8-1</f>
        <v>1.8639203554848827E-3</v>
      </c>
      <c r="CF8" s="396">
        <f t="shared" ref="CF8:CF19" si="68">CC8/AS8-1</f>
        <v>1.8797490445031317</v>
      </c>
      <c r="CG8" s="395">
        <f t="shared" ref="CG8:CG11" si="69">(CF8+1)^(1/(2022-2004))-1</f>
        <v>6.0522049356856567E-2</v>
      </c>
      <c r="CK8" s="397">
        <v>3</v>
      </c>
      <c r="CL8" s="398" t="s">
        <v>71</v>
      </c>
      <c r="CM8" s="399">
        <v>999534.17312285723</v>
      </c>
      <c r="CN8" s="400">
        <v>18342221.399999995</v>
      </c>
      <c r="CO8" s="400">
        <v>2810283.7204999998</v>
      </c>
      <c r="CP8" s="401">
        <f>CO8+CN8</f>
        <v>21152505.120499995</v>
      </c>
      <c r="CQ8" s="399">
        <v>999534.17312285712</v>
      </c>
      <c r="CR8" s="400">
        <v>18342221.399999995</v>
      </c>
      <c r="CS8" s="400">
        <v>2082964.1689398875</v>
      </c>
      <c r="CT8" s="400">
        <f>CS8+CR8</f>
        <v>20425185.568939883</v>
      </c>
      <c r="CU8" s="291"/>
      <c r="CV8" s="106"/>
      <c r="CX8" s="397">
        <v>3</v>
      </c>
      <c r="CY8" s="402" t="s">
        <v>71</v>
      </c>
      <c r="CZ8" s="403">
        <v>60825.537499999991</v>
      </c>
      <c r="DA8" s="401">
        <v>1112961.7635000001</v>
      </c>
      <c r="DB8" s="403">
        <v>60825.537500000006</v>
      </c>
      <c r="DC8" s="400">
        <v>1112961.7634999999</v>
      </c>
      <c r="DD8" s="400">
        <v>1112961.7635000001</v>
      </c>
      <c r="DF8" s="106"/>
      <c r="DH8" s="397">
        <v>3</v>
      </c>
      <c r="DI8" s="402" t="s">
        <v>71</v>
      </c>
      <c r="DJ8" s="403">
        <v>233411.5000875534</v>
      </c>
      <c r="DK8" s="401">
        <v>7552344.527499998</v>
      </c>
      <c r="DL8" s="403">
        <v>233411.50008755337</v>
      </c>
      <c r="DM8" s="400">
        <v>8279664.0790601084</v>
      </c>
      <c r="DQ8" s="283">
        <v>3</v>
      </c>
      <c r="DR8" s="404" t="s">
        <v>187</v>
      </c>
      <c r="DS8" s="17">
        <v>2446443.2899999996</v>
      </c>
      <c r="DT8" s="17">
        <v>5284394.74</v>
      </c>
      <c r="DU8" s="17">
        <v>13190868.600000001</v>
      </c>
      <c r="DV8" s="17">
        <v>20921706.630000003</v>
      </c>
      <c r="DW8" s="18"/>
      <c r="DX8" s="17"/>
      <c r="DY8" s="17"/>
      <c r="DZ8" s="17"/>
      <c r="EA8" s="96"/>
      <c r="EB8" s="94"/>
      <c r="EC8" s="96"/>
      <c r="ED8" s="397">
        <v>3</v>
      </c>
      <c r="EE8" s="405" t="s">
        <v>188</v>
      </c>
      <c r="EF8" s="17">
        <v>109637.90600000002</v>
      </c>
      <c r="EG8" s="17">
        <v>202412.08</v>
      </c>
      <c r="EH8" s="17">
        <v>534797.69999999995</v>
      </c>
      <c r="EI8" s="290">
        <f>SUM(EF8:EH8)</f>
        <v>846847.68599999999</v>
      </c>
      <c r="EJ8" s="17">
        <v>110983.40599999999</v>
      </c>
      <c r="EK8" s="17">
        <v>202412.08000000005</v>
      </c>
      <c r="EL8" s="17">
        <v>534797.69999999995</v>
      </c>
      <c r="EM8" s="17">
        <f>SUM(EJ8:EL8)</f>
        <v>848193.18599999999</v>
      </c>
      <c r="EN8" s="103"/>
      <c r="EO8" s="106"/>
      <c r="EQ8" s="397">
        <v>3</v>
      </c>
      <c r="ER8" s="405" t="s">
        <v>188</v>
      </c>
      <c r="ES8" s="17">
        <v>821828.23680000007</v>
      </c>
      <c r="ET8" s="17">
        <v>820963.00999999989</v>
      </c>
      <c r="EU8" s="17">
        <v>978003.62</v>
      </c>
      <c r="EV8" s="290">
        <f>SUM(ES8:EU8)</f>
        <v>2620794.8668</v>
      </c>
      <c r="EW8" s="17">
        <v>774178.11871818162</v>
      </c>
      <c r="EX8" s="17">
        <v>790354.6412999999</v>
      </c>
      <c r="EY8" s="17">
        <v>956467.4888833334</v>
      </c>
      <c r="EZ8" s="290">
        <f>SUM(EW8:EY8)</f>
        <v>2521000.2489015148</v>
      </c>
      <c r="FA8" s="17">
        <f>(EZ8/$EZ$9)*$FA$9</f>
        <v>1800680.6494494905</v>
      </c>
      <c r="FB8" s="17">
        <f>(EZ8/$EZ$9)*$FB$9</f>
        <v>721152.75734985585</v>
      </c>
      <c r="FC8" s="17">
        <f t="shared" si="27"/>
        <v>2521833.4067993462</v>
      </c>
      <c r="FD8" s="103"/>
      <c r="FE8" s="106"/>
      <c r="FG8" s="283">
        <f>FG7+1</f>
        <v>3</v>
      </c>
      <c r="FH8" s="406"/>
      <c r="FI8" s="407" t="s">
        <v>189</v>
      </c>
      <c r="FJ8" s="17">
        <v>152009.04440000001</v>
      </c>
      <c r="FK8" s="17">
        <v>247630.06</v>
      </c>
      <c r="FL8" s="17">
        <v>470678.5</v>
      </c>
      <c r="FM8" s="290">
        <f t="shared" si="28"/>
        <v>870317.60440000007</v>
      </c>
      <c r="FN8" s="17">
        <v>153033.9534909091</v>
      </c>
      <c r="FO8" s="17">
        <v>247702.86000000002</v>
      </c>
      <c r="FP8" s="17">
        <v>470678.49999999988</v>
      </c>
      <c r="FQ8" s="17">
        <v>871415.31349090894</v>
      </c>
      <c r="FR8" s="17">
        <v>871415.31349090894</v>
      </c>
      <c r="FS8" s="103"/>
      <c r="FT8" s="408"/>
      <c r="FV8" s="283">
        <v>3</v>
      </c>
      <c r="FW8" s="286" t="s">
        <v>190</v>
      </c>
      <c r="FX8" s="17">
        <v>9186.32</v>
      </c>
      <c r="FY8" s="17">
        <v>31597.083899999998</v>
      </c>
      <c r="FZ8" s="17">
        <v>271608.79000000004</v>
      </c>
      <c r="GA8" s="290">
        <v>312392.19390000001</v>
      </c>
      <c r="GB8" s="17">
        <v>0</v>
      </c>
      <c r="GC8" s="17">
        <v>0</v>
      </c>
      <c r="GD8" s="17">
        <v>0</v>
      </c>
      <c r="GE8" s="290">
        <f t="shared" si="1"/>
        <v>0</v>
      </c>
      <c r="GF8" s="300"/>
      <c r="GG8" s="301"/>
      <c r="GI8" s="283">
        <v>3</v>
      </c>
      <c r="GJ8" s="97" t="s">
        <v>191</v>
      </c>
      <c r="GK8" s="17">
        <v>0</v>
      </c>
      <c r="GL8" s="17">
        <v>0</v>
      </c>
      <c r="GM8" s="17">
        <v>0</v>
      </c>
      <c r="GN8" s="290">
        <f t="shared" si="2"/>
        <v>0</v>
      </c>
      <c r="GO8" s="17">
        <v>0</v>
      </c>
      <c r="GP8" s="17">
        <v>0</v>
      </c>
      <c r="GQ8" s="17">
        <v>0</v>
      </c>
      <c r="GR8" s="290">
        <f t="shared" si="3"/>
        <v>0</v>
      </c>
      <c r="GS8" s="300"/>
      <c r="GT8" s="301"/>
      <c r="GV8" s="283">
        <v>3</v>
      </c>
      <c r="GW8" s="286" t="s">
        <v>192</v>
      </c>
      <c r="GX8" s="17">
        <v>0</v>
      </c>
      <c r="GY8" s="17">
        <v>0</v>
      </c>
      <c r="GZ8" s="17">
        <v>1064.96</v>
      </c>
      <c r="HA8" s="290">
        <f t="shared" si="4"/>
        <v>1064.96</v>
      </c>
      <c r="HB8" s="17">
        <v>0</v>
      </c>
      <c r="HC8" s="17">
        <v>0</v>
      </c>
      <c r="HD8" s="17">
        <v>1064.96</v>
      </c>
      <c r="HE8" s="17">
        <f>SUM(HB8:HD8)</f>
        <v>1064.96</v>
      </c>
      <c r="HF8" s="300"/>
      <c r="HG8" s="301"/>
      <c r="HI8" s="283">
        <v>3</v>
      </c>
      <c r="HJ8" s="409" t="s">
        <v>193</v>
      </c>
      <c r="HK8" s="17">
        <v>31688402</v>
      </c>
      <c r="HL8" s="17">
        <v>68501616</v>
      </c>
      <c r="HM8" s="17">
        <v>128760312.75</v>
      </c>
      <c r="HN8" s="290">
        <f>SUM(HK8:HM8)</f>
        <v>228950330.75</v>
      </c>
      <c r="HO8" s="17">
        <v>32082866.696969695</v>
      </c>
      <c r="HP8" s="17">
        <v>68669416.799999997</v>
      </c>
      <c r="HQ8" s="17">
        <v>128760312.75</v>
      </c>
      <c r="HR8" s="17">
        <f>SUM(HO8:HQ8)</f>
        <v>229512596.2469697</v>
      </c>
      <c r="HW8" s="283">
        <v>3</v>
      </c>
      <c r="HX8" s="306">
        <v>3</v>
      </c>
      <c r="HY8" s="306">
        <v>10</v>
      </c>
      <c r="HZ8" s="306">
        <v>12</v>
      </c>
      <c r="IA8" s="307">
        <v>19107204</v>
      </c>
      <c r="IB8" s="307">
        <v>22865469</v>
      </c>
      <c r="IC8" s="309">
        <f t="shared" si="5"/>
        <v>1.2</v>
      </c>
      <c r="ID8" s="309">
        <f t="shared" si="6"/>
        <v>1.1966936135710908</v>
      </c>
      <c r="IE8" s="310">
        <v>1</v>
      </c>
      <c r="IF8" s="310">
        <v>0</v>
      </c>
      <c r="IG8" s="310">
        <v>0</v>
      </c>
      <c r="IK8" s="410">
        <v>3</v>
      </c>
      <c r="IL8" s="317">
        <v>3</v>
      </c>
      <c r="IM8" s="313">
        <f t="shared" si="7"/>
        <v>1.1966936135710908</v>
      </c>
      <c r="IN8" s="17">
        <v>0</v>
      </c>
      <c r="IO8" s="290">
        <f t="shared" si="29"/>
        <v>0</v>
      </c>
      <c r="IP8" s="17">
        <v>2081441.3333333333</v>
      </c>
      <c r="IQ8" s="290">
        <v>2485936</v>
      </c>
      <c r="IR8" s="17">
        <v>855076.09094999998</v>
      </c>
      <c r="IS8" s="290">
        <v>1014416</v>
      </c>
      <c r="IT8" s="17">
        <v>225000</v>
      </c>
      <c r="IU8" s="17">
        <v>270000</v>
      </c>
      <c r="IV8" s="17">
        <f t="shared" si="30"/>
        <v>1080076.0909500001</v>
      </c>
      <c r="IW8" s="17">
        <f t="shared" si="30"/>
        <v>1284416</v>
      </c>
      <c r="IX8" s="314"/>
      <c r="IY8" s="315"/>
      <c r="IZ8" s="314"/>
      <c r="JA8" s="316">
        <v>3</v>
      </c>
      <c r="JB8" s="317">
        <v>3</v>
      </c>
      <c r="JC8" s="318">
        <f t="shared" si="8"/>
        <v>1.2</v>
      </c>
      <c r="JD8" s="319">
        <f t="shared" si="8"/>
        <v>1.1966936135710908</v>
      </c>
      <c r="JE8" s="17">
        <v>347788.07813316374</v>
      </c>
      <c r="JF8" s="290">
        <f t="shared" ref="JF8:JF25" si="70">JE8*$JD8</f>
        <v>416195.77197812061</v>
      </c>
      <c r="JG8" s="17">
        <v>43518.84</v>
      </c>
      <c r="JH8" s="290">
        <f t="shared" si="31"/>
        <v>52078.717898022129</v>
      </c>
      <c r="JI8" s="17">
        <v>277626.58186683635</v>
      </c>
      <c r="JJ8" s="290">
        <f t="shared" si="32"/>
        <v>333151.89824020362</v>
      </c>
      <c r="JK8" s="17">
        <v>372202.0235549981</v>
      </c>
      <c r="JL8" s="290">
        <v>425726.49232872151</v>
      </c>
      <c r="JM8" s="17">
        <v>34439.39999999998</v>
      </c>
      <c r="JN8" s="290">
        <f t="shared" si="33"/>
        <v>41213.4100352202</v>
      </c>
      <c r="JO8" s="17">
        <v>47062.981999999989</v>
      </c>
      <c r="JP8" s="290">
        <f t="shared" si="34"/>
        <v>56319.96999501119</v>
      </c>
      <c r="JQ8" s="17">
        <v>26193.61</v>
      </c>
      <c r="JR8" s="290">
        <f t="shared" si="35"/>
        <v>31345.725803371861</v>
      </c>
      <c r="JS8" s="17">
        <v>128791.51393333332</v>
      </c>
      <c r="JT8" s="290">
        <f t="shared" si="36"/>
        <v>154123.98220617214</v>
      </c>
      <c r="JU8" s="17">
        <f t="shared" si="37"/>
        <v>1277623.0294883316</v>
      </c>
      <c r="JV8" s="17">
        <f t="shared" si="37"/>
        <v>1510155.9684848431</v>
      </c>
      <c r="JW8" s="320">
        <f t="shared" si="9"/>
        <v>6.604526539494306</v>
      </c>
      <c r="KA8" s="283">
        <v>3</v>
      </c>
      <c r="KB8" s="306">
        <v>3</v>
      </c>
      <c r="KC8" s="97">
        <f t="shared" si="10"/>
        <v>12</v>
      </c>
      <c r="KD8" s="97">
        <f t="shared" si="11"/>
        <v>12</v>
      </c>
      <c r="KE8" s="289">
        <f t="shared" si="12"/>
        <v>22865469</v>
      </c>
      <c r="KF8" s="289">
        <f t="shared" si="13"/>
        <v>23794628.889131784</v>
      </c>
      <c r="KG8" s="321">
        <f t="shared" si="38"/>
        <v>1</v>
      </c>
      <c r="KH8" s="321">
        <f t="shared" si="39"/>
        <v>1.0406359427454466</v>
      </c>
      <c r="KI8" s="321">
        <f t="shared" si="40"/>
        <v>1.0460679262430654</v>
      </c>
      <c r="KJ8" s="306" t="s">
        <v>440</v>
      </c>
      <c r="KK8" s="322"/>
      <c r="KL8" s="323"/>
      <c r="KM8" s="322"/>
      <c r="KN8" s="283">
        <v>3</v>
      </c>
      <c r="KO8" s="306">
        <v>3</v>
      </c>
      <c r="KP8" s="324" t="str">
        <f t="shared" si="14"/>
        <v>Q4</v>
      </c>
      <c r="KQ8" s="325">
        <f t="shared" si="15"/>
        <v>1.0460679262430654</v>
      </c>
      <c r="KR8" s="17">
        <f t="shared" si="41"/>
        <v>0</v>
      </c>
      <c r="KS8" s="17">
        <f t="shared" si="42"/>
        <v>0</v>
      </c>
      <c r="KT8" s="17">
        <f t="shared" si="16"/>
        <v>2485936</v>
      </c>
      <c r="KU8" s="17">
        <f t="shared" si="43"/>
        <v>2596292.485208496</v>
      </c>
      <c r="KV8" s="17">
        <f t="shared" si="17"/>
        <v>1014416</v>
      </c>
      <c r="KW8" s="17">
        <f t="shared" si="18"/>
        <v>1425228.873556413</v>
      </c>
      <c r="KX8" s="17">
        <f t="shared" si="44"/>
        <v>270000</v>
      </c>
      <c r="KY8" s="17">
        <f t="shared" si="45"/>
        <v>51510.231528821081</v>
      </c>
      <c r="KZ8" s="17">
        <f t="shared" si="46"/>
        <v>1284416</v>
      </c>
      <c r="LA8" s="17">
        <f t="shared" si="46"/>
        <v>1476739.1050852342</v>
      </c>
      <c r="LB8" s="326"/>
      <c r="LC8" s="323"/>
      <c r="LD8" s="322"/>
      <c r="LE8" s="364">
        <f t="shared" ref="LE8:LE28" si="71">LE7+1</f>
        <v>3</v>
      </c>
      <c r="LF8" s="365">
        <v>2</v>
      </c>
      <c r="LG8" s="411">
        <f t="shared" ref="LG8:LH27" si="72">KG7</f>
        <v>1</v>
      </c>
      <c r="LH8" s="411">
        <f t="shared" si="72"/>
        <v>1.0406359427454466</v>
      </c>
      <c r="LI8" s="412">
        <v>106.45762205358784</v>
      </c>
      <c r="LJ8" s="343">
        <f t="shared" ref="LJ8:LJ26" si="73">JF7*LJ$6/LI8*KH7</f>
        <v>315588.97927428293</v>
      </c>
      <c r="LK8" s="412">
        <v>106.45762205358784</v>
      </c>
      <c r="LL8" s="343">
        <f t="shared" si="47"/>
        <v>12503.705450646385</v>
      </c>
      <c r="LM8" s="412">
        <v>106.45762205358784</v>
      </c>
      <c r="LN8" s="343">
        <f t="shared" si="48"/>
        <v>103286.30812571313</v>
      </c>
      <c r="LO8" s="412">
        <v>118.614283549666</v>
      </c>
      <c r="LP8" s="343">
        <f t="shared" ref="LP8:LP26" si="74">JL7*LP$6/LO8*LG8</f>
        <v>327503.78307503246</v>
      </c>
      <c r="LQ8" s="412">
        <v>119.48337591187899</v>
      </c>
      <c r="LR8" s="343">
        <f t="shared" si="49"/>
        <v>62078.284871963842</v>
      </c>
      <c r="LS8" s="412">
        <v>157.07111615098</v>
      </c>
      <c r="LT8" s="343">
        <f t="shared" si="50"/>
        <v>13715.50975357268</v>
      </c>
      <c r="LU8" s="412">
        <v>112.15574935818501</v>
      </c>
      <c r="LV8" s="343">
        <f t="shared" si="51"/>
        <v>43535.108059137085</v>
      </c>
      <c r="LW8" s="412">
        <v>116.939890710382</v>
      </c>
      <c r="LX8" s="343">
        <f t="shared" si="52"/>
        <v>141448.38098797173</v>
      </c>
      <c r="LY8" s="20">
        <f t="shared" si="53"/>
        <v>1029302.370829471</v>
      </c>
      <c r="LZ8" s="20">
        <f t="shared" ref="LZ8:LZ26" si="75">LJ8+LL8+LN8+LP8+LR8+LV8+LX8+LT8</f>
        <v>1019660.0595983203</v>
      </c>
      <c r="MA8" s="103"/>
      <c r="MB8" s="335"/>
      <c r="MD8" s="283">
        <v>3</v>
      </c>
      <c r="ME8" s="336">
        <v>3</v>
      </c>
      <c r="MF8" s="17">
        <f t="shared" si="19"/>
        <v>1080076.0909500001</v>
      </c>
      <c r="MG8" s="17">
        <f t="shared" si="19"/>
        <v>1284416</v>
      </c>
      <c r="MH8" s="290">
        <f t="shared" si="20"/>
        <v>1476739.1050852342</v>
      </c>
      <c r="MI8" s="17">
        <f t="shared" si="21"/>
        <v>1277623.0294883316</v>
      </c>
      <c r="MJ8" s="17">
        <f t="shared" si="21"/>
        <v>1510155.9684848431</v>
      </c>
      <c r="MK8" s="290">
        <f t="shared" si="54"/>
        <v>1579725.722256528</v>
      </c>
      <c r="ML8" s="17">
        <f t="shared" si="55"/>
        <v>-197546.93853833154</v>
      </c>
      <c r="MM8" s="17">
        <f t="shared" si="55"/>
        <v>-225739.96848484315</v>
      </c>
      <c r="MN8" s="17">
        <f t="shared" si="55"/>
        <v>-102986.61717129382</v>
      </c>
      <c r="MR8" s="283">
        <f t="shared" ref="MR8:MR13" si="76">MR7+1</f>
        <v>3</v>
      </c>
      <c r="MS8" s="413" t="s">
        <v>43</v>
      </c>
      <c r="MT8" s="32">
        <v>239866309.41368827</v>
      </c>
      <c r="MX8" s="338">
        <f>MX7+1</f>
        <v>2</v>
      </c>
      <c r="MY8" s="346" t="s">
        <v>184</v>
      </c>
      <c r="MZ8" s="20">
        <f>N8</f>
        <v>239866309.41368827</v>
      </c>
      <c r="NA8" s="414">
        <f t="shared" si="56"/>
        <v>10.911254373016739</v>
      </c>
      <c r="NC8" s="15">
        <f>MZ8</f>
        <v>239866309.41368827</v>
      </c>
      <c r="ND8" s="414">
        <f t="shared" si="57"/>
        <v>10.911254373016739</v>
      </c>
      <c r="NH8" s="338">
        <f>NH7+1</f>
        <v>2</v>
      </c>
      <c r="NI8" s="346" t="str">
        <f t="shared" si="58"/>
        <v>Less Purchases</v>
      </c>
      <c r="NJ8" s="20">
        <v>240527467.54057765</v>
      </c>
      <c r="NK8" s="20">
        <f>MZ8</f>
        <v>239866309.41368827</v>
      </c>
      <c r="NL8" s="20">
        <f t="shared" ref="NL8:NL32" si="77">NK8-NJ8</f>
        <v>-661158.12688937783</v>
      </c>
      <c r="NM8" s="352">
        <f t="shared" ref="NM8:NM31" si="78">NL8/NJ8</f>
        <v>-2.7487843016425501E-3</v>
      </c>
    </row>
    <row r="9" spans="2:387" ht="17.25" thickBot="1" x14ac:dyDescent="0.35">
      <c r="B9" s="226">
        <f t="shared" ref="B9:B22" si="79">B8+1</f>
        <v>4</v>
      </c>
      <c r="C9" s="339"/>
      <c r="D9" s="518" t="s">
        <v>194</v>
      </c>
      <c r="E9" s="340"/>
      <c r="F9" s="15">
        <f>F7-F8</f>
        <v>97424965.908500075</v>
      </c>
      <c r="G9" s="341">
        <f t="shared" si="22"/>
        <v>4.6875236286878099</v>
      </c>
      <c r="H9" s="15">
        <f>H7-H8</f>
        <v>93109688.080902457</v>
      </c>
      <c r="I9" s="342">
        <f t="shared" si="23"/>
        <v>4.4691335738219662</v>
      </c>
      <c r="J9" s="343">
        <f t="shared" si="59"/>
        <v>-4315277.8275976181</v>
      </c>
      <c r="K9" s="15">
        <f>IS26</f>
        <v>94967116</v>
      </c>
      <c r="L9" s="342">
        <f t="shared" si="24"/>
        <v>4.4954947913881655</v>
      </c>
      <c r="M9" s="343">
        <f t="shared" si="60"/>
        <v>1857427.9190975428</v>
      </c>
      <c r="N9" s="15">
        <f>KW26</f>
        <v>131674066.73842122</v>
      </c>
      <c r="O9" s="342">
        <f t="shared" si="25"/>
        <v>5.9897083505571613</v>
      </c>
      <c r="P9" s="343">
        <f t="shared" si="61"/>
        <v>36706950.738421217</v>
      </c>
      <c r="Q9" s="15">
        <f t="shared" si="62"/>
        <v>34249100.829921141</v>
      </c>
      <c r="R9" s="344">
        <f>O9/G9-1</f>
        <v>0.27779800701162016</v>
      </c>
      <c r="V9" s="275"/>
      <c r="W9" s="276" t="s">
        <v>26</v>
      </c>
      <c r="X9" s="415"/>
      <c r="Y9" s="416"/>
      <c r="Z9" s="416"/>
      <c r="AA9" s="416"/>
      <c r="AB9" s="279"/>
      <c r="AC9" s="349"/>
      <c r="AF9" s="417">
        <f t="shared" ref="AF9:AF21" si="80">AF8+1</f>
        <v>3</v>
      </c>
      <c r="AG9" s="418" t="s">
        <v>195</v>
      </c>
      <c r="AH9" s="419">
        <f>F14/AH7</f>
        <v>21.259502357287285</v>
      </c>
      <c r="AI9" s="419">
        <f>F15/AI7</f>
        <v>19.390851338774322</v>
      </c>
      <c r="AJ9" s="419">
        <f>F16/AJ7</f>
        <v>29.970456808704011</v>
      </c>
      <c r="AL9" s="420"/>
      <c r="AN9" s="338">
        <v>4</v>
      </c>
      <c r="AO9" s="96"/>
      <c r="AQ9" s="518" t="s">
        <v>196</v>
      </c>
      <c r="AR9" s="340"/>
      <c r="AS9" s="348">
        <v>40798541.478400007</v>
      </c>
      <c r="AT9" s="349">
        <v>3.9784808756709964</v>
      </c>
      <c r="AU9" s="350"/>
      <c r="AV9" s="348">
        <v>43143142.145199999</v>
      </c>
      <c r="AW9" s="349">
        <v>3.9977765121497129</v>
      </c>
      <c r="AX9" s="351">
        <f>AW9/AT9-1</f>
        <v>4.8500010636502999E-3</v>
      </c>
      <c r="AY9" s="350"/>
      <c r="AZ9" s="348">
        <v>52055496.75</v>
      </c>
      <c r="BA9" s="349">
        <v>4.0348819154069133</v>
      </c>
      <c r="BB9" s="351">
        <f>BA9/AW9-1</f>
        <v>9.2815101455603344E-3</v>
      </c>
      <c r="BC9" s="350"/>
      <c r="BD9" s="348">
        <v>59830706</v>
      </c>
      <c r="BE9" s="349">
        <v>4.0684254603524463</v>
      </c>
      <c r="BF9" s="351">
        <f>BE9/BA9-1</f>
        <v>8.313389499070345E-3</v>
      </c>
      <c r="BG9" s="350"/>
      <c r="BH9" s="348">
        <v>59786661.226033345</v>
      </c>
      <c r="BI9" s="349">
        <v>3.9342611202245616</v>
      </c>
      <c r="BJ9" s="351">
        <f>BI9/BE9-1</f>
        <v>-3.2976968961417885E-2</v>
      </c>
      <c r="BK9" s="350"/>
      <c r="BL9" s="348">
        <v>66021321</v>
      </c>
      <c r="BM9" s="349">
        <v>3.9248623221128827</v>
      </c>
      <c r="BN9" s="351">
        <f>BM9/BI9-1</f>
        <v>-2.3889614401452208E-3</v>
      </c>
      <c r="BO9" s="350"/>
      <c r="BP9" s="348">
        <v>81963127.490000069</v>
      </c>
      <c r="BQ9" s="349">
        <v>4.4189957395433002</v>
      </c>
      <c r="BR9" s="351">
        <f>BQ9/BM9-1</f>
        <v>0.12589828046870433</v>
      </c>
      <c r="BS9" s="350"/>
      <c r="BT9" s="518">
        <v>94550736.985399961</v>
      </c>
      <c r="BU9" s="518">
        <v>4.8189639488589151</v>
      </c>
      <c r="BV9" s="518">
        <f>BU9/BQ9-1</f>
        <v>9.0511109964761305E-2</v>
      </c>
      <c r="BW9" s="15">
        <v>96385423.959800005</v>
      </c>
      <c r="BX9" s="16">
        <v>4.9793229575775362</v>
      </c>
      <c r="BY9" s="16">
        <f t="shared" si="65"/>
        <v>3.3276656646620495E-2</v>
      </c>
      <c r="BZ9" s="16">
        <v>104384344.36159995</v>
      </c>
      <c r="CA9" s="16">
        <v>5.1171376873373191</v>
      </c>
      <c r="CB9" s="16">
        <f t="shared" si="66"/>
        <v>2.7677403320476746E-2</v>
      </c>
      <c r="CC9" s="15">
        <f t="shared" si="26"/>
        <v>97424965.908500075</v>
      </c>
      <c r="CD9" s="16">
        <f t="shared" si="26"/>
        <v>4.6875236286878099</v>
      </c>
      <c r="CE9" s="352">
        <f t="shared" si="67"/>
        <v>-8.3955931010536666E-2</v>
      </c>
      <c r="CF9" s="353">
        <f t="shared" si="68"/>
        <v>1.387952176184529</v>
      </c>
      <c r="CG9" s="352">
        <f t="shared" si="69"/>
        <v>4.9545869026245137E-2</v>
      </c>
      <c r="CK9" s="421">
        <v>4</v>
      </c>
      <c r="CL9" s="422" t="s">
        <v>72</v>
      </c>
      <c r="CM9" s="423">
        <f t="shared" ref="CM9:CT9" si="81">SUM(CM6:CM8)</f>
        <v>1768304.2516944832</v>
      </c>
      <c r="CN9" s="424">
        <f t="shared" si="81"/>
        <v>32588519.365899995</v>
      </c>
      <c r="CO9" s="424">
        <f t="shared" si="81"/>
        <v>5004749.0414000005</v>
      </c>
      <c r="CP9" s="425">
        <f t="shared" si="81"/>
        <v>37593268.407299995</v>
      </c>
      <c r="CQ9" s="423">
        <f t="shared" si="81"/>
        <v>1771580.4609369074</v>
      </c>
      <c r="CR9" s="424">
        <f t="shared" si="81"/>
        <v>32647547.262273327</v>
      </c>
      <c r="CS9" s="424">
        <f t="shared" si="81"/>
        <v>3737121.3062909618</v>
      </c>
      <c r="CT9" s="424">
        <f t="shared" si="81"/>
        <v>36384668.568564288</v>
      </c>
      <c r="CV9" s="106"/>
      <c r="CX9" s="421">
        <v>4</v>
      </c>
      <c r="CY9" s="422" t="s">
        <v>72</v>
      </c>
      <c r="CZ9" s="426">
        <f>SUM(CZ6:CZ8)</f>
        <v>110734.90699999999</v>
      </c>
      <c r="DA9" s="427">
        <f>SUM(DA6:DA8)</f>
        <v>2147244.1196499998</v>
      </c>
      <c r="DB9" s="426">
        <f>SUM(DB6:DB8)</f>
        <v>110738.507</v>
      </c>
      <c r="DC9" s="428">
        <f>SUM(DC6:DC8)</f>
        <v>2147299.9196499996</v>
      </c>
      <c r="DD9" s="428">
        <f>SUM(DD6:DD8)</f>
        <v>2147299.9196500001</v>
      </c>
      <c r="DF9" s="106"/>
      <c r="DH9" s="421">
        <v>4</v>
      </c>
      <c r="DI9" s="422" t="s">
        <v>72</v>
      </c>
      <c r="DJ9" s="426">
        <f>SUM(DJ6:DJ8)</f>
        <v>530227.1121017714</v>
      </c>
      <c r="DK9" s="429">
        <f>SUM(DK6:DK8)</f>
        <v>15891148.762049999</v>
      </c>
      <c r="DL9" s="426">
        <f>SUM(DL6:DL8)</f>
        <v>532725.79619268049</v>
      </c>
      <c r="DM9" s="430">
        <f>SUM(DM6:DM8)</f>
        <v>17229598.204603884</v>
      </c>
      <c r="DQ9" s="338">
        <v>4</v>
      </c>
      <c r="DR9" s="104" t="s">
        <v>197</v>
      </c>
      <c r="DS9" s="20">
        <v>680166.6370000001</v>
      </c>
      <c r="DT9" s="20">
        <v>746283.70999999985</v>
      </c>
      <c r="DU9" s="20">
        <v>1231080.0325</v>
      </c>
      <c r="DV9" s="20">
        <v>2657530.3794999998</v>
      </c>
      <c r="DW9" s="15"/>
      <c r="DX9" s="20"/>
      <c r="DY9" s="20"/>
      <c r="DZ9" s="20"/>
      <c r="ED9" s="431">
        <v>4</v>
      </c>
      <c r="EE9" s="432" t="s">
        <v>72</v>
      </c>
      <c r="EF9" s="433">
        <f t="shared" ref="EF9:EL9" si="82">SUM(EF6:EF8)</f>
        <v>462450.054</v>
      </c>
      <c r="EG9" s="433">
        <f t="shared" si="82"/>
        <v>1503959.5179999999</v>
      </c>
      <c r="EH9" s="433">
        <f t="shared" si="82"/>
        <v>2975958.0346999997</v>
      </c>
      <c r="EI9" s="434">
        <f t="shared" si="82"/>
        <v>4942367.6066999994</v>
      </c>
      <c r="EJ9" s="433">
        <f t="shared" si="82"/>
        <v>454226.32116146933</v>
      </c>
      <c r="EK9" s="433">
        <f t="shared" si="82"/>
        <v>1511364.4405120066</v>
      </c>
      <c r="EL9" s="433">
        <f t="shared" si="82"/>
        <v>2981156.4268586496</v>
      </c>
      <c r="EM9" s="433">
        <f>SUM(EM6:EM8)</f>
        <v>4946747.1885321252</v>
      </c>
      <c r="EN9" s="103"/>
      <c r="EO9" s="408"/>
      <c r="EQ9" s="431">
        <v>4</v>
      </c>
      <c r="ER9" s="432" t="s">
        <v>72</v>
      </c>
      <c r="ES9" s="433">
        <f t="shared" ref="ES9:EZ9" si="83">SUM(ES6:ES8)</f>
        <v>1110499.9328000001</v>
      </c>
      <c r="ET9" s="433">
        <f t="shared" si="83"/>
        <v>1020073.0299999999</v>
      </c>
      <c r="EU9" s="433">
        <f t="shared" si="83"/>
        <v>1386160.8160000001</v>
      </c>
      <c r="EV9" s="434">
        <f t="shared" si="83"/>
        <v>3516733.7788</v>
      </c>
      <c r="EW9" s="433">
        <f t="shared" si="83"/>
        <v>1044966.8286657071</v>
      </c>
      <c r="EX9" s="433">
        <f t="shared" si="83"/>
        <v>985240.73378442356</v>
      </c>
      <c r="EY9" s="433">
        <f t="shared" si="83"/>
        <v>1344674.172341411</v>
      </c>
      <c r="EZ9" s="434">
        <f t="shared" si="83"/>
        <v>3374881.7347915415</v>
      </c>
      <c r="FA9" s="433">
        <v>2410584.5434436779</v>
      </c>
      <c r="FB9" s="433">
        <v>965412.54600632284</v>
      </c>
      <c r="FC9" s="433">
        <f t="shared" si="27"/>
        <v>3375997.0894500008</v>
      </c>
      <c r="FD9" s="103"/>
      <c r="FE9" s="408"/>
      <c r="FG9" s="338">
        <f t="shared" ref="FG9:FG36" si="84">FG8+1</f>
        <v>4</v>
      </c>
      <c r="FH9" s="360"/>
      <c r="FI9" s="361" t="s">
        <v>198</v>
      </c>
      <c r="FJ9" s="20">
        <v>189887.30370000005</v>
      </c>
      <c r="FK9" s="20">
        <v>178441.77000000002</v>
      </c>
      <c r="FL9" s="20">
        <v>260899.5</v>
      </c>
      <c r="FM9" s="343">
        <f t="shared" si="28"/>
        <v>629228.57370000007</v>
      </c>
      <c r="FN9" s="20">
        <v>191392.48006363638</v>
      </c>
      <c r="FO9" s="20">
        <v>178638.77</v>
      </c>
      <c r="FP9" s="20">
        <v>260899.49999999994</v>
      </c>
      <c r="FQ9" s="20">
        <v>630930.75006363634</v>
      </c>
      <c r="FR9" s="20">
        <v>630930.75006363634</v>
      </c>
      <c r="FS9" s="103"/>
      <c r="FT9" s="408"/>
      <c r="FV9" s="338">
        <v>4</v>
      </c>
      <c r="FW9" s="340" t="s">
        <v>199</v>
      </c>
      <c r="FX9" s="20">
        <v>27606.560000000001</v>
      </c>
      <c r="FY9" s="20">
        <v>0</v>
      </c>
      <c r="FZ9" s="20">
        <v>0</v>
      </c>
      <c r="GA9" s="343">
        <v>27606.560000000001</v>
      </c>
      <c r="GB9" s="20">
        <v>0</v>
      </c>
      <c r="GC9" s="20">
        <v>0</v>
      </c>
      <c r="GD9" s="20">
        <v>0</v>
      </c>
      <c r="GE9" s="343">
        <f t="shared" si="1"/>
        <v>0</v>
      </c>
      <c r="GF9" s="300"/>
      <c r="GG9" s="301"/>
      <c r="GI9" s="338">
        <v>4</v>
      </c>
      <c r="GJ9" s="362" t="s">
        <v>200</v>
      </c>
      <c r="GK9" s="20">
        <v>0</v>
      </c>
      <c r="GL9" s="20">
        <v>0</v>
      </c>
      <c r="GM9" s="20">
        <v>0</v>
      </c>
      <c r="GN9" s="343">
        <f t="shared" si="2"/>
        <v>0</v>
      </c>
      <c r="GO9" s="20">
        <v>0</v>
      </c>
      <c r="GP9" s="20">
        <v>0</v>
      </c>
      <c r="GQ9" s="20">
        <v>0</v>
      </c>
      <c r="GR9" s="343">
        <f t="shared" si="3"/>
        <v>0</v>
      </c>
      <c r="GS9" s="300"/>
      <c r="GT9" s="301"/>
      <c r="GV9" s="338">
        <v>4</v>
      </c>
      <c r="GW9" s="340" t="s">
        <v>201</v>
      </c>
      <c r="GX9" s="20">
        <v>15</v>
      </c>
      <c r="GY9" s="20">
        <v>102.05</v>
      </c>
      <c r="GZ9" s="20">
        <v>28</v>
      </c>
      <c r="HA9" s="343">
        <f t="shared" si="4"/>
        <v>145.05000000000001</v>
      </c>
      <c r="HB9" s="20">
        <v>15</v>
      </c>
      <c r="HC9" s="20">
        <v>102.05</v>
      </c>
      <c r="HD9" s="20">
        <v>28</v>
      </c>
      <c r="HE9" s="20">
        <f>SUM(HB9:HD9)</f>
        <v>145.05000000000001</v>
      </c>
      <c r="HF9" s="300"/>
      <c r="HG9" s="301"/>
      <c r="HI9" s="435">
        <v>4</v>
      </c>
      <c r="HJ9" s="436" t="s">
        <v>202</v>
      </c>
      <c r="HK9" s="436">
        <f>HK7-HK8</f>
        <v>15547930.827358045</v>
      </c>
      <c r="HL9" s="436">
        <f>HL7-HL8</f>
        <v>30873007.267200008</v>
      </c>
      <c r="HM9" s="436">
        <f>HM7-HM8</f>
        <v>57974601.33160001</v>
      </c>
      <c r="HN9" s="436">
        <f>SUM(HK9:HM9)</f>
        <v>104395539.42615807</v>
      </c>
      <c r="HO9" s="436">
        <f>HO7-HO8</f>
        <v>13275900.142986365</v>
      </c>
      <c r="HP9" s="436">
        <f>HP7-HP8</f>
        <v>29046739.107620001</v>
      </c>
      <c r="HQ9" s="436">
        <f>HQ7-HQ8</f>
        <v>55553147.771600008</v>
      </c>
      <c r="HR9" s="436">
        <f>SUM(HO9:HQ9)</f>
        <v>97875787.022206366</v>
      </c>
      <c r="HW9" s="338">
        <v>4</v>
      </c>
      <c r="HX9" s="322">
        <v>4</v>
      </c>
      <c r="HY9" s="322">
        <v>11</v>
      </c>
      <c r="HZ9" s="322">
        <v>10</v>
      </c>
      <c r="IA9" s="347">
        <v>26264261</v>
      </c>
      <c r="IB9" s="347">
        <v>23590721</v>
      </c>
      <c r="IC9" s="342">
        <f t="shared" si="5"/>
        <v>0.90909090909090906</v>
      </c>
      <c r="ID9" s="342">
        <f t="shared" si="6"/>
        <v>0.89820615931283965</v>
      </c>
      <c r="IE9" s="344">
        <v>1</v>
      </c>
      <c r="IF9" s="344">
        <v>0</v>
      </c>
      <c r="IG9" s="344">
        <v>0</v>
      </c>
      <c r="IK9" s="364">
        <v>4</v>
      </c>
      <c r="IL9" s="365">
        <v>4</v>
      </c>
      <c r="IM9" s="341">
        <f t="shared" si="7"/>
        <v>0.89820615931283965</v>
      </c>
      <c r="IN9" s="20">
        <v>7664</v>
      </c>
      <c r="IO9" s="343">
        <f t="shared" si="29"/>
        <v>6883.8520049736035</v>
      </c>
      <c r="IP9" s="20">
        <v>2868589</v>
      </c>
      <c r="IQ9" s="343">
        <v>2570986</v>
      </c>
      <c r="IR9" s="20">
        <v>1172360.9693000002</v>
      </c>
      <c r="IS9" s="343">
        <v>1051227</v>
      </c>
      <c r="IT9" s="20">
        <v>247500</v>
      </c>
      <c r="IU9" s="20">
        <v>225000</v>
      </c>
      <c r="IV9" s="20">
        <f t="shared" si="30"/>
        <v>1427524.9693000002</v>
      </c>
      <c r="IW9" s="20">
        <f t="shared" si="30"/>
        <v>1283110.8520049737</v>
      </c>
      <c r="IX9" s="314"/>
      <c r="IY9" s="315"/>
      <c r="IZ9" s="314"/>
      <c r="JA9" s="366">
        <v>4</v>
      </c>
      <c r="JB9" s="365">
        <v>4</v>
      </c>
      <c r="JC9" s="367">
        <f t="shared" si="8"/>
        <v>0.90909090909090906</v>
      </c>
      <c r="JD9" s="368">
        <f t="shared" si="8"/>
        <v>0.89820615931283965</v>
      </c>
      <c r="JE9" s="20">
        <v>542390.29433242558</v>
      </c>
      <c r="JF9" s="343">
        <f t="shared" si="70"/>
        <v>487178.30312088865</v>
      </c>
      <c r="JG9" s="20">
        <v>53126.451000000001</v>
      </c>
      <c r="JH9" s="343">
        <f t="shared" si="31"/>
        <v>47718.505510631767</v>
      </c>
      <c r="JI9" s="20">
        <v>406583.4446675746</v>
      </c>
      <c r="JJ9" s="343">
        <f t="shared" si="32"/>
        <v>369621.31333415874</v>
      </c>
      <c r="JK9" s="20">
        <v>414159.29905448295</v>
      </c>
      <c r="JL9" s="343">
        <v>370890.46616913925</v>
      </c>
      <c r="JM9" s="20">
        <v>34921.061000000002</v>
      </c>
      <c r="JN9" s="343">
        <f t="shared" si="33"/>
        <v>31366.312079939391</v>
      </c>
      <c r="JO9" s="20">
        <v>43741.144</v>
      </c>
      <c r="JP9" s="343">
        <f t="shared" si="34"/>
        <v>39288.564956189861</v>
      </c>
      <c r="JQ9" s="20">
        <v>36874.22</v>
      </c>
      <c r="JR9" s="343">
        <f t="shared" si="35"/>
        <v>33120.651523856701</v>
      </c>
      <c r="JS9" s="20">
        <v>141721.51135000002</v>
      </c>
      <c r="JT9" s="343">
        <f t="shared" si="36"/>
        <v>127295.13440169452</v>
      </c>
      <c r="JU9" s="20">
        <f t="shared" si="37"/>
        <v>1673517.4254044832</v>
      </c>
      <c r="JV9" s="20">
        <f t="shared" si="37"/>
        <v>1506479.2510964985</v>
      </c>
      <c r="JW9" s="369">
        <f t="shared" si="9"/>
        <v>6.3858974513602131</v>
      </c>
      <c r="KA9" s="338">
        <v>4</v>
      </c>
      <c r="KB9" s="322">
        <v>4</v>
      </c>
      <c r="KC9" s="518">
        <f t="shared" si="10"/>
        <v>10</v>
      </c>
      <c r="KD9" s="518">
        <f t="shared" si="11"/>
        <v>10</v>
      </c>
      <c r="KE9" s="370">
        <f t="shared" si="12"/>
        <v>23590721</v>
      </c>
      <c r="KF9" s="370">
        <f t="shared" si="13"/>
        <v>24549352.187879805</v>
      </c>
      <c r="KG9" s="371">
        <f t="shared" si="38"/>
        <v>1</v>
      </c>
      <c r="KH9" s="371">
        <f t="shared" si="39"/>
        <v>1.0406359427454466</v>
      </c>
      <c r="KI9" s="371">
        <f t="shared" si="40"/>
        <v>1.0459259287819007</v>
      </c>
      <c r="KJ9" s="322" t="s">
        <v>440</v>
      </c>
      <c r="KK9" s="322"/>
      <c r="KL9" s="323"/>
      <c r="KM9" s="322"/>
      <c r="KN9" s="338">
        <v>4</v>
      </c>
      <c r="KO9" s="322">
        <v>4</v>
      </c>
      <c r="KP9" s="437" t="str">
        <f t="shared" si="14"/>
        <v>Q4</v>
      </c>
      <c r="KQ9" s="373">
        <f t="shared" si="15"/>
        <v>1.0459259287819007</v>
      </c>
      <c r="KR9" s="358">
        <f t="shared" si="41"/>
        <v>6883.8520049736035</v>
      </c>
      <c r="KS9" s="358">
        <f t="shared" si="42"/>
        <v>7199.9993018991654</v>
      </c>
      <c r="KT9" s="358">
        <f t="shared" si="16"/>
        <v>2570986</v>
      </c>
      <c r="KU9" s="358">
        <f t="shared" si="43"/>
        <v>2678642.2641473156</v>
      </c>
      <c r="KV9" s="358">
        <f t="shared" si="17"/>
        <v>1051227</v>
      </c>
      <c r="KW9" s="358">
        <f t="shared" si="18"/>
        <v>1470434.5980051239</v>
      </c>
      <c r="KX9" s="358">
        <f t="shared" si="44"/>
        <v>225000</v>
      </c>
      <c r="KY9" s="358">
        <f t="shared" si="45"/>
        <v>53144.044438442164</v>
      </c>
      <c r="KZ9" s="358">
        <f t="shared" si="46"/>
        <v>1283110.8520049737</v>
      </c>
      <c r="LA9" s="358">
        <f t="shared" si="46"/>
        <v>1530778.6417454653</v>
      </c>
      <c r="LB9" s="326"/>
      <c r="LC9" s="323"/>
      <c r="LD9" s="322"/>
      <c r="LE9" s="374">
        <f t="shared" si="71"/>
        <v>4</v>
      </c>
      <c r="LF9" s="375">
        <v>3</v>
      </c>
      <c r="LG9" s="376">
        <f t="shared" si="72"/>
        <v>1</v>
      </c>
      <c r="LH9" s="376">
        <f t="shared" si="72"/>
        <v>1.0406359427454466</v>
      </c>
      <c r="LI9" s="377">
        <v>92.086954396969617</v>
      </c>
      <c r="LJ9" s="290">
        <f t="shared" si="73"/>
        <v>441620.86664545542</v>
      </c>
      <c r="LK9" s="377">
        <v>92.086954396969617</v>
      </c>
      <c r="LL9" s="290">
        <f t="shared" si="47"/>
        <v>55260.168604302366</v>
      </c>
      <c r="LM9" s="377">
        <v>92.086954396969617</v>
      </c>
      <c r="LN9" s="290">
        <f t="shared" si="48"/>
        <v>339699.87870464643</v>
      </c>
      <c r="LO9" s="377">
        <v>119.50379714140099</v>
      </c>
      <c r="LP9" s="290">
        <f t="shared" si="74"/>
        <v>442005.11186349811</v>
      </c>
      <c r="LQ9" s="377">
        <v>120.433043671646</v>
      </c>
      <c r="LR9" s="290">
        <f t="shared" si="49"/>
        <v>44485.505956427376</v>
      </c>
      <c r="LS9" s="377">
        <v>146.40099357416699</v>
      </c>
      <c r="LT9" s="290">
        <f t="shared" si="50"/>
        <v>57172.78750852868</v>
      </c>
      <c r="LU9" s="377">
        <v>116.183248398364</v>
      </c>
      <c r="LV9" s="290">
        <f t="shared" si="51"/>
        <v>33103.609365101489</v>
      </c>
      <c r="LW9" s="377">
        <v>117.5956284153</v>
      </c>
      <c r="LX9" s="378">
        <f t="shared" si="52"/>
        <v>166377.79360856817</v>
      </c>
      <c r="LY9" s="379">
        <f t="shared" si="53"/>
        <v>1510155.9684848431</v>
      </c>
      <c r="LZ9" s="379">
        <f t="shared" si="75"/>
        <v>1579725.722256528</v>
      </c>
      <c r="MA9" s="103"/>
      <c r="MB9" s="335"/>
      <c r="MD9" s="338">
        <v>4</v>
      </c>
      <c r="ME9" s="380">
        <v>4</v>
      </c>
      <c r="MF9" s="20">
        <f t="shared" si="19"/>
        <v>1427524.9693000002</v>
      </c>
      <c r="MG9" s="20">
        <f t="shared" si="19"/>
        <v>1283110.8520049737</v>
      </c>
      <c r="MH9" s="343">
        <f t="shared" si="20"/>
        <v>1530778.6417454653</v>
      </c>
      <c r="MI9" s="20">
        <f t="shared" si="21"/>
        <v>1673517.4254044832</v>
      </c>
      <c r="MJ9" s="20">
        <f t="shared" si="21"/>
        <v>1506479.2510964985</v>
      </c>
      <c r="MK9" s="343">
        <f t="shared" si="54"/>
        <v>1575665.7098937673</v>
      </c>
      <c r="ML9" s="20">
        <f t="shared" si="55"/>
        <v>-245992.45610448299</v>
      </c>
      <c r="MM9" s="20">
        <f t="shared" si="55"/>
        <v>-223368.39909152477</v>
      </c>
      <c r="MN9" s="20">
        <f t="shared" si="55"/>
        <v>-44887.068148301914</v>
      </c>
      <c r="MR9" s="338">
        <f t="shared" si="76"/>
        <v>4</v>
      </c>
      <c r="MS9" s="346" t="s">
        <v>203</v>
      </c>
      <c r="MT9" s="20">
        <f>MT7+MT8</f>
        <v>333475187.01949108</v>
      </c>
      <c r="MX9" s="283">
        <f t="shared" ref="MX9:MX24" si="85">MX8+1</f>
        <v>3</v>
      </c>
      <c r="MY9" s="388" t="s">
        <v>204</v>
      </c>
      <c r="MZ9" s="17">
        <f>N9</f>
        <v>131674066.73842122</v>
      </c>
      <c r="NA9" s="381">
        <f t="shared" si="56"/>
        <v>5.9897083505571613</v>
      </c>
      <c r="NB9" s="97"/>
      <c r="NC9" s="18">
        <f>MZ30</f>
        <v>108289821.3450765</v>
      </c>
      <c r="ND9" s="381">
        <f t="shared" si="57"/>
        <v>4.9259847687356766</v>
      </c>
      <c r="NH9" s="283">
        <f t="shared" ref="NH9:NH24" si="86">NH8+1</f>
        <v>3</v>
      </c>
      <c r="NI9" s="388" t="str">
        <f t="shared" si="58"/>
        <v>Base Handling Commissions (HC)</v>
      </c>
      <c r="NJ9" s="17">
        <v>101297214.72157842</v>
      </c>
      <c r="NK9" s="17">
        <f>MZ9</f>
        <v>131674066.73842122</v>
      </c>
      <c r="NL9" s="17">
        <f t="shared" si="77"/>
        <v>30376852.016842797</v>
      </c>
      <c r="NM9" s="383">
        <f t="shared" si="78"/>
        <v>0.29987845273273733</v>
      </c>
    </row>
    <row r="10" spans="2:387" x14ac:dyDescent="0.3">
      <c r="B10" s="265">
        <f t="shared" si="79"/>
        <v>5</v>
      </c>
      <c r="C10" s="384"/>
      <c r="D10" s="97" t="s">
        <v>205</v>
      </c>
      <c r="E10" s="286"/>
      <c r="F10" s="18">
        <f>HA14+GE14</f>
        <v>2435490.3939</v>
      </c>
      <c r="G10" s="313">
        <f t="shared" si="22"/>
        <v>0.11718165526042415</v>
      </c>
      <c r="H10" s="18">
        <f>HE14</f>
        <v>215937.90000000002</v>
      </c>
      <c r="I10" s="309">
        <f t="shared" si="23"/>
        <v>1.0364714334689638E-2</v>
      </c>
      <c r="J10" s="290">
        <f t="shared" si="59"/>
        <v>-2219552.4939000001</v>
      </c>
      <c r="K10" s="18">
        <f>IO26</f>
        <v>214148.01155062864</v>
      </c>
      <c r="L10" s="309">
        <f t="shared" si="24"/>
        <v>1.0137206551707684E-2</v>
      </c>
      <c r="M10" s="290">
        <f t="shared" si="60"/>
        <v>-1789.8884493713849</v>
      </c>
      <c r="N10" s="18">
        <f>KS26</f>
        <v>206157.54841335485</v>
      </c>
      <c r="O10" s="309">
        <f t="shared" si="25"/>
        <v>9.3778799413472835E-3</v>
      </c>
      <c r="P10" s="290">
        <f t="shared" si="61"/>
        <v>-7990.4631372737931</v>
      </c>
      <c r="Q10" s="18">
        <f t="shared" si="62"/>
        <v>-2229332.8454866451</v>
      </c>
      <c r="R10" s="310">
        <f t="shared" si="63"/>
        <v>-0.91997143306684048</v>
      </c>
      <c r="V10" s="249">
        <f>V8+1</f>
        <v>3</v>
      </c>
      <c r="W10" s="345" t="s">
        <v>176</v>
      </c>
      <c r="X10" s="20">
        <v>-3111364.09752667</v>
      </c>
      <c r="Y10" s="20">
        <v>1633.1694328281737</v>
      </c>
      <c r="Z10" s="20">
        <v>6268605.8697440196</v>
      </c>
      <c r="AA10" s="20">
        <f>SUM(X10:Z10)</f>
        <v>3158874.9416501778</v>
      </c>
      <c r="AB10" s="20"/>
      <c r="AF10" s="385">
        <f t="shared" si="80"/>
        <v>4</v>
      </c>
      <c r="AG10" s="282" t="s">
        <v>26</v>
      </c>
      <c r="AH10" s="97"/>
      <c r="AI10" s="97"/>
      <c r="AJ10" s="97"/>
      <c r="AN10" s="283">
        <v>5</v>
      </c>
      <c r="AO10" s="390"/>
      <c r="AP10" s="97"/>
      <c r="AQ10" s="97" t="s">
        <v>205</v>
      </c>
      <c r="AR10" s="286"/>
      <c r="AS10" s="392">
        <v>351000.77</v>
      </c>
      <c r="AT10" s="393">
        <v>3.4227935612112924E-2</v>
      </c>
      <c r="AU10" s="394"/>
      <c r="AV10" s="392">
        <v>392967.44999999995</v>
      </c>
      <c r="AW10" s="393">
        <v>3.6413574986312203E-2</v>
      </c>
      <c r="AX10" s="383">
        <f>AW10/AT10-1</f>
        <v>6.3855424965384211E-2</v>
      </c>
      <c r="AY10" s="394"/>
      <c r="AZ10" s="392">
        <v>419971.50999999995</v>
      </c>
      <c r="BA10" s="393">
        <v>3.2552478729062043E-2</v>
      </c>
      <c r="BB10" s="383">
        <f>BA10/AW10-1</f>
        <v>-0.10603452857077444</v>
      </c>
      <c r="BC10" s="394"/>
      <c r="BD10" s="392">
        <v>465783.3236</v>
      </c>
      <c r="BE10" s="393">
        <v>3.1672779070028398E-2</v>
      </c>
      <c r="BF10" s="383">
        <f>BE10/BA10-1</f>
        <v>-2.7024045276413E-2</v>
      </c>
      <c r="BG10" s="394"/>
      <c r="BH10" s="392">
        <v>1360261.3124000002</v>
      </c>
      <c r="BI10" s="393">
        <v>8.9511992892331985E-2</v>
      </c>
      <c r="BJ10" s="383">
        <f>BI10/BE10-1</f>
        <v>1.8261489998847686</v>
      </c>
      <c r="BK10" s="394"/>
      <c r="BL10" s="392">
        <v>1390376.9787000001</v>
      </c>
      <c r="BM10" s="393">
        <v>8.2655695684016636E-2</v>
      </c>
      <c r="BN10" s="383">
        <f>BM10/BI10-1</f>
        <v>-7.6596408891960732E-2</v>
      </c>
      <c r="BO10" s="394"/>
      <c r="BP10" s="392">
        <v>770218.05</v>
      </c>
      <c r="BQ10" s="393">
        <v>4.1525871275282955E-2</v>
      </c>
      <c r="BR10" s="383">
        <f>BQ10/BM10-1</f>
        <v>-0.49760423729259196</v>
      </c>
      <c r="BS10" s="394"/>
      <c r="BT10" s="97">
        <v>1472526.2590000001</v>
      </c>
      <c r="BU10" s="97">
        <v>7.5050191908761346E-2</v>
      </c>
      <c r="BV10" s="97">
        <f>BU10/BQ10-1</f>
        <v>0.8073116735164747</v>
      </c>
      <c r="BW10" s="18">
        <v>11886052.370000001</v>
      </c>
      <c r="BX10" s="19">
        <v>0.6140398725184244</v>
      </c>
      <c r="BY10" s="19">
        <f t="shared" si="65"/>
        <v>7.1817228830662252</v>
      </c>
      <c r="BZ10" s="19">
        <v>6021594.1700000009</v>
      </c>
      <c r="CA10" s="19">
        <v>0.29519107155012259</v>
      </c>
      <c r="CB10" s="19">
        <f t="shared" si="66"/>
        <v>-0.51926400098510661</v>
      </c>
      <c r="CC10" s="18">
        <f t="shared" si="26"/>
        <v>2435490.3939</v>
      </c>
      <c r="CD10" s="19">
        <f t="shared" si="26"/>
        <v>0.11718165526042415</v>
      </c>
      <c r="CE10" s="395">
        <f t="shared" si="67"/>
        <v>-0.60303116674541068</v>
      </c>
      <c r="CF10" s="396">
        <f t="shared" si="68"/>
        <v>5.9387038492821533</v>
      </c>
      <c r="CG10" s="395">
        <f t="shared" si="69"/>
        <v>0.11362170310487252</v>
      </c>
      <c r="CV10" s="106"/>
      <c r="CX10" s="438"/>
      <c r="CY10" s="439"/>
      <c r="CZ10" s="440"/>
      <c r="DA10" s="518"/>
      <c r="DB10" s="440"/>
      <c r="DF10" s="106"/>
      <c r="DK10" s="518"/>
      <c r="DQ10" s="283">
        <v>5</v>
      </c>
      <c r="DR10" s="441" t="s">
        <v>206</v>
      </c>
      <c r="DS10" s="17"/>
      <c r="DT10" s="17"/>
      <c r="DU10" s="17"/>
      <c r="DV10" s="17"/>
      <c r="DW10" s="18">
        <v>2956744.1022613361</v>
      </c>
      <c r="DX10" s="17">
        <v>4613072.506473586</v>
      </c>
      <c r="DY10" s="17">
        <v>6654109.4956538649</v>
      </c>
      <c r="DZ10" s="17">
        <v>14223926.104388788</v>
      </c>
      <c r="EN10" s="103"/>
      <c r="EO10" s="408"/>
      <c r="FB10" s="442" t="s">
        <v>207</v>
      </c>
      <c r="FD10" s="103"/>
      <c r="FE10" s="408"/>
      <c r="FG10" s="283">
        <f t="shared" si="84"/>
        <v>5</v>
      </c>
      <c r="FH10" s="406"/>
      <c r="FI10" s="407" t="s">
        <v>208</v>
      </c>
      <c r="FJ10" s="17">
        <v>38248.1</v>
      </c>
      <c r="FK10" s="17">
        <v>179410.81</v>
      </c>
      <c r="FL10" s="17">
        <v>22647.81</v>
      </c>
      <c r="FM10" s="290">
        <f t="shared" si="28"/>
        <v>240306.72</v>
      </c>
      <c r="FN10" s="17">
        <v>0</v>
      </c>
      <c r="FO10" s="17">
        <v>0</v>
      </c>
      <c r="FP10" s="17">
        <v>0</v>
      </c>
      <c r="FQ10" s="17">
        <v>0</v>
      </c>
      <c r="FR10" s="17">
        <v>0</v>
      </c>
      <c r="FS10" s="103"/>
      <c r="FT10" s="408"/>
      <c r="FV10" s="283">
        <v>5</v>
      </c>
      <c r="FW10" s="286" t="s">
        <v>209</v>
      </c>
      <c r="FX10" s="17">
        <v>0</v>
      </c>
      <c r="FY10" s="17">
        <v>0</v>
      </c>
      <c r="FZ10" s="17">
        <v>0</v>
      </c>
      <c r="GA10" s="290">
        <v>0</v>
      </c>
      <c r="GB10" s="17">
        <v>0</v>
      </c>
      <c r="GC10" s="17">
        <v>0</v>
      </c>
      <c r="GD10" s="17">
        <v>0</v>
      </c>
      <c r="GE10" s="290">
        <f t="shared" si="1"/>
        <v>0</v>
      </c>
      <c r="GF10" s="300"/>
      <c r="GG10" s="301"/>
      <c r="GI10" s="283">
        <v>5</v>
      </c>
      <c r="GJ10" s="97" t="s">
        <v>210</v>
      </c>
      <c r="GK10" s="17">
        <v>0</v>
      </c>
      <c r="GL10" s="17">
        <v>0</v>
      </c>
      <c r="GM10" s="17">
        <v>0</v>
      </c>
      <c r="GN10" s="290">
        <f t="shared" si="2"/>
        <v>0</v>
      </c>
      <c r="GO10" s="17">
        <v>0</v>
      </c>
      <c r="GP10" s="17">
        <v>0</v>
      </c>
      <c r="GQ10" s="17">
        <v>0</v>
      </c>
      <c r="GR10" s="290">
        <f t="shared" si="3"/>
        <v>0</v>
      </c>
      <c r="GS10" s="300"/>
      <c r="GT10" s="301"/>
      <c r="GV10" s="283">
        <v>5</v>
      </c>
      <c r="GW10" s="286" t="s">
        <v>211</v>
      </c>
      <c r="GX10" s="17">
        <v>0</v>
      </c>
      <c r="GY10" s="17">
        <v>9554</v>
      </c>
      <c r="GZ10" s="17">
        <v>149254.37</v>
      </c>
      <c r="HA10" s="290">
        <f t="shared" si="4"/>
        <v>158808.37</v>
      </c>
      <c r="HB10" s="17">
        <v>0</v>
      </c>
      <c r="HC10" s="17">
        <v>9554</v>
      </c>
      <c r="HD10" s="17">
        <v>149254.37</v>
      </c>
      <c r="HE10" s="17">
        <f>SUM(HB10:HD10)</f>
        <v>158808.37</v>
      </c>
      <c r="HF10" s="300"/>
      <c r="HG10" s="301"/>
      <c r="HS10" s="305"/>
      <c r="HT10" s="443"/>
      <c r="HW10" s="283">
        <v>5</v>
      </c>
      <c r="HX10" s="306">
        <v>5</v>
      </c>
      <c r="HY10" s="306">
        <v>10</v>
      </c>
      <c r="HZ10" s="306">
        <v>11</v>
      </c>
      <c r="IA10" s="307">
        <v>27116157</v>
      </c>
      <c r="IB10" s="307">
        <v>29685742</v>
      </c>
      <c r="IC10" s="309">
        <f t="shared" si="5"/>
        <v>1.1000000000000001</v>
      </c>
      <c r="ID10" s="309">
        <f t="shared" si="6"/>
        <v>1.0947621375698628</v>
      </c>
      <c r="IE10" s="310">
        <v>1</v>
      </c>
      <c r="IF10" s="310">
        <v>0</v>
      </c>
      <c r="IG10" s="310">
        <v>0</v>
      </c>
      <c r="IK10" s="410">
        <v>5</v>
      </c>
      <c r="IL10" s="317">
        <v>5</v>
      </c>
      <c r="IM10" s="313">
        <f t="shared" si="7"/>
        <v>1.0947621375698628</v>
      </c>
      <c r="IN10" s="17">
        <v>0</v>
      </c>
      <c r="IO10" s="290">
        <f t="shared" si="29"/>
        <v>0</v>
      </c>
      <c r="IP10" s="17">
        <v>2939956</v>
      </c>
      <c r="IQ10" s="290">
        <v>3212808</v>
      </c>
      <c r="IR10" s="17">
        <v>1207459.2149000003</v>
      </c>
      <c r="IS10" s="290">
        <v>1313046</v>
      </c>
      <c r="IT10" s="17">
        <v>225000</v>
      </c>
      <c r="IU10" s="17">
        <v>247500</v>
      </c>
      <c r="IV10" s="17">
        <f t="shared" si="30"/>
        <v>1432459.2149000003</v>
      </c>
      <c r="IW10" s="17">
        <f t="shared" si="30"/>
        <v>1560546</v>
      </c>
      <c r="IX10" s="314"/>
      <c r="IY10" s="315"/>
      <c r="IZ10" s="314"/>
      <c r="JA10" s="316">
        <v>5</v>
      </c>
      <c r="JB10" s="317">
        <v>5</v>
      </c>
      <c r="JC10" s="318">
        <f t="shared" si="8"/>
        <v>1.1000000000000001</v>
      </c>
      <c r="JD10" s="319">
        <f t="shared" si="8"/>
        <v>1.0947621375698628</v>
      </c>
      <c r="JE10" s="17">
        <v>376466.18503357458</v>
      </c>
      <c r="JF10" s="290">
        <f t="shared" si="70"/>
        <v>412140.92545012763</v>
      </c>
      <c r="JG10" s="17">
        <v>40193.666000000005</v>
      </c>
      <c r="JH10" s="290">
        <f t="shared" si="31"/>
        <v>44002.503706929121</v>
      </c>
      <c r="JI10" s="17">
        <v>312146.12896642543</v>
      </c>
      <c r="JJ10" s="290">
        <f t="shared" si="32"/>
        <v>343360.74186306802</v>
      </c>
      <c r="JK10" s="17">
        <v>390543.88054603967</v>
      </c>
      <c r="JL10" s="290">
        <v>418603.62896724488</v>
      </c>
      <c r="JM10" s="17">
        <v>78887.505000000005</v>
      </c>
      <c r="JN10" s="290">
        <f t="shared" si="33"/>
        <v>86363.053601353255</v>
      </c>
      <c r="JO10" s="17">
        <v>67866.460000000021</v>
      </c>
      <c r="JP10" s="290">
        <f t="shared" si="34"/>
        <v>74297.630818899619</v>
      </c>
      <c r="JQ10" s="17">
        <v>71839.23</v>
      </c>
      <c r="JR10" s="290">
        <f t="shared" si="35"/>
        <v>78646.868996173012</v>
      </c>
      <c r="JS10" s="17">
        <v>222001.96544999999</v>
      </c>
      <c r="JT10" s="290">
        <f t="shared" si="36"/>
        <v>243039.34624075281</v>
      </c>
      <c r="JU10" s="17">
        <f t="shared" si="37"/>
        <v>1559945.0209960397</v>
      </c>
      <c r="JV10" s="17">
        <f t="shared" si="37"/>
        <v>1700454.6996445484</v>
      </c>
      <c r="JW10" s="320">
        <f t="shared" si="9"/>
        <v>5.7281866144513032</v>
      </c>
      <c r="KA10" s="283">
        <v>5</v>
      </c>
      <c r="KB10" s="306">
        <v>5</v>
      </c>
      <c r="KC10" s="97">
        <f t="shared" si="10"/>
        <v>11</v>
      </c>
      <c r="KD10" s="97">
        <f t="shared" si="11"/>
        <v>11</v>
      </c>
      <c r="KE10" s="289">
        <f t="shared" si="12"/>
        <v>29685742</v>
      </c>
      <c r="KF10" s="289">
        <f t="shared" si="13"/>
        <v>30892050.112268098</v>
      </c>
      <c r="KG10" s="321">
        <f t="shared" si="38"/>
        <v>1</v>
      </c>
      <c r="KH10" s="321">
        <f t="shared" si="39"/>
        <v>1.0406359427454466</v>
      </c>
      <c r="KI10" s="321">
        <f t="shared" si="40"/>
        <v>1.0484198698556535</v>
      </c>
      <c r="KJ10" s="306" t="s">
        <v>440</v>
      </c>
      <c r="KK10" s="322"/>
      <c r="KL10" s="323"/>
      <c r="KM10" s="322"/>
      <c r="KN10" s="283">
        <v>5</v>
      </c>
      <c r="KO10" s="306">
        <v>5</v>
      </c>
      <c r="KP10" s="324" t="str">
        <f t="shared" si="14"/>
        <v>Q4</v>
      </c>
      <c r="KQ10" s="325">
        <f t="shared" si="15"/>
        <v>1.0484198698556535</v>
      </c>
      <c r="KR10" s="17">
        <f t="shared" si="41"/>
        <v>0</v>
      </c>
      <c r="KS10" s="17">
        <f t="shared" si="42"/>
        <v>0</v>
      </c>
      <c r="KT10" s="17">
        <f t="shared" si="16"/>
        <v>3212808</v>
      </c>
      <c r="KU10" s="17">
        <f t="shared" si="43"/>
        <v>3370710.1687893751</v>
      </c>
      <c r="KV10" s="17">
        <f t="shared" si="17"/>
        <v>1313046</v>
      </c>
      <c r="KW10" s="17">
        <f t="shared" si="18"/>
        <v>1850343.7052328251</v>
      </c>
      <c r="KX10" s="17">
        <f t="shared" si="44"/>
        <v>247500</v>
      </c>
      <c r="KY10" s="17">
        <f t="shared" si="45"/>
        <v>66874.61532168214</v>
      </c>
      <c r="KZ10" s="17">
        <f t="shared" si="46"/>
        <v>1560546</v>
      </c>
      <c r="LA10" s="17">
        <f t="shared" si="46"/>
        <v>1917218.3205545072</v>
      </c>
      <c r="LB10" s="326"/>
      <c r="LC10" s="323"/>
      <c r="LD10" s="322"/>
      <c r="LE10" s="364">
        <f t="shared" si="71"/>
        <v>5</v>
      </c>
      <c r="LF10" s="365">
        <v>4</v>
      </c>
      <c r="LG10" s="411">
        <f t="shared" si="72"/>
        <v>1</v>
      </c>
      <c r="LH10" s="411">
        <f t="shared" si="72"/>
        <v>1.0406359427454466</v>
      </c>
      <c r="LI10" s="412">
        <v>92.086954396969617</v>
      </c>
      <c r="LJ10" s="343">
        <f t="shared" si="73"/>
        <v>516939.66859043331</v>
      </c>
      <c r="LK10" s="412">
        <v>92.086954396969617</v>
      </c>
      <c r="LL10" s="343">
        <f t="shared" si="47"/>
        <v>50633.594037901414</v>
      </c>
      <c r="LM10" s="412">
        <v>92.086954396969617</v>
      </c>
      <c r="LN10" s="343">
        <f t="shared" si="48"/>
        <v>376886.08700568299</v>
      </c>
      <c r="LO10" s="412">
        <v>119.50379714140099</v>
      </c>
      <c r="LP10" s="343">
        <f t="shared" si="74"/>
        <v>385072.305675574</v>
      </c>
      <c r="LQ10" s="412">
        <v>120.433043671646</v>
      </c>
      <c r="LR10" s="343">
        <f t="shared" si="49"/>
        <v>33856.607877651164</v>
      </c>
      <c r="LS10" s="412">
        <v>146.40099357416699</v>
      </c>
      <c r="LT10" s="343">
        <f t="shared" si="50"/>
        <v>39883.486726897056</v>
      </c>
      <c r="LU10" s="412">
        <v>116.183248398364</v>
      </c>
      <c r="LV10" s="343">
        <f t="shared" si="51"/>
        <v>34978.073784001026</v>
      </c>
      <c r="LW10" s="412">
        <v>117.5956284153</v>
      </c>
      <c r="LX10" s="343">
        <f t="shared" si="52"/>
        <v>137415.88619562628</v>
      </c>
      <c r="LY10" s="20">
        <f t="shared" si="53"/>
        <v>1506479.2510964985</v>
      </c>
      <c r="LZ10" s="20">
        <f t="shared" si="75"/>
        <v>1575665.7098937673</v>
      </c>
      <c r="MA10" s="103"/>
      <c r="MB10" s="335"/>
      <c r="MD10" s="283">
        <v>5</v>
      </c>
      <c r="ME10" s="336">
        <v>5</v>
      </c>
      <c r="MF10" s="17">
        <f t="shared" si="19"/>
        <v>1432459.2149000003</v>
      </c>
      <c r="MG10" s="17">
        <f t="shared" si="19"/>
        <v>1560546</v>
      </c>
      <c r="MH10" s="290">
        <f t="shared" si="20"/>
        <v>1917218.3205545072</v>
      </c>
      <c r="MI10" s="17">
        <f t="shared" si="21"/>
        <v>1559945.0209960397</v>
      </c>
      <c r="MJ10" s="17">
        <f t="shared" si="21"/>
        <v>1700454.6996445484</v>
      </c>
      <c r="MK10" s="290">
        <f t="shared" si="54"/>
        <v>1782790.4948967716</v>
      </c>
      <c r="ML10" s="17">
        <f t="shared" si="55"/>
        <v>-127485.80609603948</v>
      </c>
      <c r="MM10" s="17">
        <f t="shared" si="55"/>
        <v>-139908.69964454835</v>
      </c>
      <c r="MN10" s="17">
        <f t="shared" si="55"/>
        <v>134427.82565773558</v>
      </c>
      <c r="MR10" s="283">
        <f>MR9+1</f>
        <v>5</v>
      </c>
      <c r="MS10" s="444" t="s">
        <v>212</v>
      </c>
      <c r="MT10" s="445"/>
      <c r="MX10" s="338">
        <f t="shared" si="85"/>
        <v>4</v>
      </c>
      <c r="MY10" s="346" t="s">
        <v>205</v>
      </c>
      <c r="MZ10" s="20">
        <f>N10</f>
        <v>206157.54841335485</v>
      </c>
      <c r="NA10" s="414">
        <f t="shared" si="56"/>
        <v>9.3778799413472835E-3</v>
      </c>
      <c r="NC10" s="15">
        <f>MZ10</f>
        <v>206157.54841335485</v>
      </c>
      <c r="ND10" s="414">
        <f t="shared" si="57"/>
        <v>9.3778799413472835E-3</v>
      </c>
      <c r="NH10" s="338">
        <f t="shared" si="86"/>
        <v>4</v>
      </c>
      <c r="NI10" s="346" t="str">
        <f t="shared" si="58"/>
        <v>Misc Revenue</v>
      </c>
      <c r="NJ10" s="20">
        <v>588123.20368232101</v>
      </c>
      <c r="NK10" s="20">
        <f>MZ10</f>
        <v>206157.54841335485</v>
      </c>
      <c r="NL10" s="20">
        <f t="shared" si="77"/>
        <v>-381965.65526896616</v>
      </c>
      <c r="NM10" s="352">
        <f t="shared" si="78"/>
        <v>-0.64946537201291532</v>
      </c>
    </row>
    <row r="11" spans="2:387" x14ac:dyDescent="0.3">
      <c r="B11" s="226">
        <f>B10+1</f>
        <v>6</v>
      </c>
      <c r="C11" s="339"/>
      <c r="D11" s="518" t="s">
        <v>45</v>
      </c>
      <c r="E11" s="340"/>
      <c r="F11" s="15">
        <v>4535083.1237580404</v>
      </c>
      <c r="G11" s="341">
        <f t="shared" si="22"/>
        <v>0.21820186542990008</v>
      </c>
      <c r="H11" s="15">
        <v>4550161.0413039094</v>
      </c>
      <c r="I11" s="342">
        <f t="shared" si="23"/>
        <v>0.2184013059770839</v>
      </c>
      <c r="J11" s="343">
        <f t="shared" si="59"/>
        <v>15077.917545869015</v>
      </c>
      <c r="K11" s="15">
        <v>4747991.9641978256</v>
      </c>
      <c r="L11" s="342">
        <f t="shared" si="24"/>
        <v>0.22475751653450432</v>
      </c>
      <c r="M11" s="343">
        <f t="shared" si="60"/>
        <v>197830.92289391626</v>
      </c>
      <c r="N11" s="15">
        <f>MZ11</f>
        <v>4758928.0499999989</v>
      </c>
      <c r="O11" s="342">
        <f t="shared" si="25"/>
        <v>0.2164783984185121</v>
      </c>
      <c r="P11" s="343">
        <f t="shared" si="61"/>
        <v>10936.085802173242</v>
      </c>
      <c r="Q11" s="15">
        <f t="shared" si="62"/>
        <v>223844.92624195851</v>
      </c>
      <c r="R11" s="344">
        <f>O11/G11-1</f>
        <v>-7.8984980627567758E-3</v>
      </c>
      <c r="V11" s="385">
        <f t="shared" si="64"/>
        <v>4</v>
      </c>
      <c r="W11" s="386" t="s">
        <v>185</v>
      </c>
      <c r="X11" s="309">
        <f>X10/$H$24*100</f>
        <v>-0.149341083997174</v>
      </c>
      <c r="Y11" s="309">
        <f>Y10/$H$24*100</f>
        <v>7.8389827035509342E-5</v>
      </c>
      <c r="Z11" s="309">
        <f>Z10/$H$24*100</f>
        <v>0.30088423160851074</v>
      </c>
      <c r="AA11" s="309">
        <f>AA10/$H$24*100</f>
        <v>0.15162153743837226</v>
      </c>
      <c r="AB11" s="342"/>
      <c r="AC11" s="348"/>
      <c r="AF11" s="249">
        <f t="shared" si="80"/>
        <v>5</v>
      </c>
      <c r="AG11" s="346" t="s">
        <v>78</v>
      </c>
      <c r="AH11" s="105">
        <f>CQ9</f>
        <v>1771580.4609369074</v>
      </c>
      <c r="AI11" s="105">
        <f>DB9</f>
        <v>110738.507</v>
      </c>
      <c r="AJ11" s="347">
        <f>DL9</f>
        <v>532725.79619268049</v>
      </c>
      <c r="AN11" s="446">
        <v>6</v>
      </c>
      <c r="AO11" s="447"/>
      <c r="AP11" s="447"/>
      <c r="AQ11" s="447" t="s">
        <v>213</v>
      </c>
      <c r="AR11" s="448"/>
      <c r="AS11" s="449">
        <v>41149542.24840001</v>
      </c>
      <c r="AT11" s="450">
        <v>4.0127088112831091</v>
      </c>
      <c r="AU11" s="451"/>
      <c r="AV11" s="449">
        <v>43536109.595200002</v>
      </c>
      <c r="AW11" s="450">
        <v>4.0341900871360252</v>
      </c>
      <c r="AX11" s="452">
        <f>AW11/AT11-1</f>
        <v>5.3533104102929663E-3</v>
      </c>
      <c r="AY11" s="451"/>
      <c r="AZ11" s="449">
        <v>52475468.259999998</v>
      </c>
      <c r="BA11" s="450">
        <v>4.067434394135975</v>
      </c>
      <c r="BB11" s="452">
        <f>BA11/AW11-1</f>
        <v>8.2406397026151268E-3</v>
      </c>
      <c r="BC11" s="451"/>
      <c r="BD11" s="449">
        <v>60296489.323600002</v>
      </c>
      <c r="BE11" s="450">
        <v>4.1000982394224748</v>
      </c>
      <c r="BF11" s="452">
        <f>BE11/BA11-1</f>
        <v>8.0305770471900129E-3</v>
      </c>
      <c r="BG11" s="451"/>
      <c r="BH11" s="449">
        <v>61146922.538433343</v>
      </c>
      <c r="BI11" s="450">
        <v>4.0237731131168939</v>
      </c>
      <c r="BJ11" s="452">
        <f>BI11/BE11-1</f>
        <v>-1.8615438423331909E-2</v>
      </c>
      <c r="BK11" s="451"/>
      <c r="BL11" s="449">
        <v>67411697.978699997</v>
      </c>
      <c r="BM11" s="450">
        <v>4.0075180177968992</v>
      </c>
      <c r="BN11" s="452">
        <f>BM11/BI11-1</f>
        <v>-4.0397643860697885E-3</v>
      </c>
      <c r="BO11" s="451"/>
      <c r="BP11" s="449">
        <v>82733345.540000066</v>
      </c>
      <c r="BQ11" s="450">
        <v>4.4605216108185832</v>
      </c>
      <c r="BR11" s="452">
        <f>BQ11/BM11-1</f>
        <v>0.11303844200074709</v>
      </c>
      <c r="BS11" s="451"/>
      <c r="BT11" s="453">
        <v>96023263.244399965</v>
      </c>
      <c r="BU11" s="453">
        <v>4.8940141407676769</v>
      </c>
      <c r="BV11" s="453">
        <f>BU11/BQ11-1</f>
        <v>9.7184268516421479E-2</v>
      </c>
      <c r="BW11" s="22">
        <v>108271476.32980001</v>
      </c>
      <c r="BX11" s="23">
        <v>5.5933628300959608</v>
      </c>
      <c r="BY11" s="23">
        <f t="shared" si="65"/>
        <v>0.14289878803222744</v>
      </c>
      <c r="BZ11" s="23">
        <v>110405938.53159995</v>
      </c>
      <c r="CA11" s="23">
        <v>5.4123287588874414</v>
      </c>
      <c r="CB11" s="23">
        <f t="shared" si="66"/>
        <v>-3.2365873036956816E-2</v>
      </c>
      <c r="CC11" s="22">
        <f>F12</f>
        <v>104395539.42615813</v>
      </c>
      <c r="CD11" s="23">
        <f>G12</f>
        <v>5.0229071493781339</v>
      </c>
      <c r="CE11" s="352">
        <f t="shared" si="67"/>
        <v>-7.1950841653853459E-2</v>
      </c>
      <c r="CF11" s="454">
        <f t="shared" si="68"/>
        <v>1.5369793616651295</v>
      </c>
      <c r="CG11" s="352">
        <f t="shared" si="69"/>
        <v>5.3081666178149911E-2</v>
      </c>
      <c r="CP11" s="347"/>
      <c r="CT11" s="347"/>
      <c r="CV11" s="106"/>
      <c r="CX11" s="438"/>
      <c r="CY11" s="455"/>
      <c r="CZ11" s="105"/>
      <c r="DA11" s="518"/>
      <c r="DB11" s="105"/>
      <c r="DC11" s="344"/>
      <c r="DF11" s="106"/>
      <c r="DQ11" s="456">
        <v>6</v>
      </c>
      <c r="DR11" s="457" t="s">
        <v>214</v>
      </c>
      <c r="DS11" s="458"/>
      <c r="DT11" s="458"/>
      <c r="DU11" s="458"/>
      <c r="DV11" s="458"/>
      <c r="DW11" s="459">
        <v>1232847.5543047281</v>
      </c>
      <c r="DX11" s="458">
        <v>2154432.7668835837</v>
      </c>
      <c r="DY11" s="458">
        <v>3352134.5294021191</v>
      </c>
      <c r="DZ11" s="458">
        <v>6739414.8505904311</v>
      </c>
      <c r="EN11" s="103"/>
      <c r="EO11" s="408"/>
      <c r="FD11" s="103"/>
      <c r="FE11" s="408"/>
      <c r="FG11" s="338">
        <f t="shared" si="84"/>
        <v>6</v>
      </c>
      <c r="FH11" s="360"/>
      <c r="FI11" s="361" t="s">
        <v>215</v>
      </c>
      <c r="FJ11" s="20">
        <v>47401.000000000007</v>
      </c>
      <c r="FK11" s="20">
        <v>42434.12000000001</v>
      </c>
      <c r="FL11" s="20">
        <v>52030.61</v>
      </c>
      <c r="FM11" s="343">
        <f t="shared" si="28"/>
        <v>141865.73000000004</v>
      </c>
      <c r="FN11" s="20">
        <v>47464.545454545463</v>
      </c>
      <c r="FO11" s="20">
        <v>42434.12</v>
      </c>
      <c r="FP11" s="20">
        <v>52030.609999999993</v>
      </c>
      <c r="FQ11" s="20">
        <v>141929.27545454545</v>
      </c>
      <c r="FR11" s="20">
        <v>141929.27545454545</v>
      </c>
      <c r="FS11" s="103"/>
      <c r="FT11" s="301"/>
      <c r="FV11" s="338">
        <v>6</v>
      </c>
      <c r="FW11" s="340" t="s">
        <v>216</v>
      </c>
      <c r="FX11" s="20">
        <v>50000</v>
      </c>
      <c r="FY11" s="20">
        <v>60000</v>
      </c>
      <c r="FZ11" s="20">
        <v>40000</v>
      </c>
      <c r="GA11" s="343">
        <v>150000</v>
      </c>
      <c r="GB11" s="20">
        <v>0</v>
      </c>
      <c r="GC11" s="20">
        <v>0</v>
      </c>
      <c r="GD11" s="20">
        <v>0</v>
      </c>
      <c r="GE11" s="343">
        <f t="shared" ref="GE11:GE12" si="87">SUM(GB11:GD11)</f>
        <v>0</v>
      </c>
      <c r="GF11" s="300"/>
      <c r="GG11" s="301"/>
      <c r="GI11" s="456">
        <v>6</v>
      </c>
      <c r="GJ11" s="460" t="s">
        <v>217</v>
      </c>
      <c r="GK11" s="20">
        <v>0</v>
      </c>
      <c r="GL11" s="20">
        <v>0</v>
      </c>
      <c r="GM11" s="20">
        <v>0</v>
      </c>
      <c r="GN11" s="343">
        <f t="shared" si="2"/>
        <v>0</v>
      </c>
      <c r="GO11" s="20">
        <v>0</v>
      </c>
      <c r="GP11" s="20">
        <v>0</v>
      </c>
      <c r="GQ11" s="20">
        <v>0</v>
      </c>
      <c r="GR11" s="343">
        <f t="shared" ref="GR11" si="88">SUM(GO11:GQ11)</f>
        <v>0</v>
      </c>
      <c r="GS11" s="300"/>
      <c r="GT11" s="301"/>
      <c r="GV11" s="338">
        <v>6</v>
      </c>
      <c r="GW11" s="340" t="s">
        <v>218</v>
      </c>
      <c r="GX11" s="20">
        <v>63092.39</v>
      </c>
      <c r="GY11" s="20">
        <v>69565.040000000008</v>
      </c>
      <c r="GZ11" s="20">
        <v>89479.24</v>
      </c>
      <c r="HA11" s="343">
        <f t="shared" si="4"/>
        <v>222136.66999999998</v>
      </c>
      <c r="HB11" s="20">
        <v>9823</v>
      </c>
      <c r="HC11" s="20">
        <v>5642.7500000000073</v>
      </c>
      <c r="HD11" s="20">
        <v>26053.030000000021</v>
      </c>
      <c r="HE11" s="20">
        <f>SUM(HB11:HD11)</f>
        <v>41518.780000000028</v>
      </c>
      <c r="HF11" s="300"/>
      <c r="HG11" s="301"/>
      <c r="HW11" s="338">
        <v>6</v>
      </c>
      <c r="HX11" s="322">
        <v>6</v>
      </c>
      <c r="HY11" s="322">
        <v>10</v>
      </c>
      <c r="HZ11" s="322">
        <v>10</v>
      </c>
      <c r="IA11" s="347">
        <v>30951872</v>
      </c>
      <c r="IB11" s="347">
        <v>32402786</v>
      </c>
      <c r="IC11" s="342">
        <f t="shared" si="5"/>
        <v>1</v>
      </c>
      <c r="ID11" s="342">
        <f t="shared" si="6"/>
        <v>1.0468764538700599</v>
      </c>
      <c r="IE11" s="344">
        <v>0.9</v>
      </c>
      <c r="IF11" s="344">
        <v>0.1</v>
      </c>
      <c r="IG11" s="344">
        <v>0</v>
      </c>
      <c r="IK11" s="364">
        <v>6</v>
      </c>
      <c r="IL11" s="365">
        <v>6</v>
      </c>
      <c r="IM11" s="341">
        <f t="shared" si="7"/>
        <v>1.0468764538700599</v>
      </c>
      <c r="IN11" s="20">
        <v>0</v>
      </c>
      <c r="IO11" s="343">
        <f t="shared" si="29"/>
        <v>0</v>
      </c>
      <c r="IP11" s="20">
        <v>3369027</v>
      </c>
      <c r="IQ11" s="343">
        <v>3511615</v>
      </c>
      <c r="IR11" s="20">
        <v>1407569.3480000002</v>
      </c>
      <c r="IS11" s="343">
        <v>1440397</v>
      </c>
      <c r="IT11" s="20">
        <v>225000</v>
      </c>
      <c r="IU11" s="20">
        <v>225000</v>
      </c>
      <c r="IV11" s="20">
        <f t="shared" si="30"/>
        <v>1632569.3480000002</v>
      </c>
      <c r="IW11" s="20">
        <f t="shared" si="30"/>
        <v>1665397</v>
      </c>
      <c r="IX11" s="314"/>
      <c r="IY11" s="315"/>
      <c r="IZ11" s="314"/>
      <c r="JA11" s="366">
        <v>6</v>
      </c>
      <c r="JB11" s="365">
        <v>6</v>
      </c>
      <c r="JC11" s="367">
        <f t="shared" si="8"/>
        <v>1</v>
      </c>
      <c r="JD11" s="368">
        <f t="shared" si="8"/>
        <v>1.0468764538700599</v>
      </c>
      <c r="JE11" s="20">
        <v>638908.69272277597</v>
      </c>
      <c r="JF11" s="343">
        <f t="shared" si="70"/>
        <v>668858.46658437548</v>
      </c>
      <c r="JG11" s="20">
        <v>31460.6597</v>
      </c>
      <c r="JH11" s="343">
        <f t="shared" si="31"/>
        <v>32935.423863148702</v>
      </c>
      <c r="JI11" s="20">
        <v>378386.21757722402</v>
      </c>
      <c r="JJ11" s="343">
        <f t="shared" si="32"/>
        <v>378386.21757722402</v>
      </c>
      <c r="JK11" s="20">
        <v>469212.57936610642</v>
      </c>
      <c r="JL11" s="343">
        <v>466986.50599135744</v>
      </c>
      <c r="JM11" s="20">
        <v>81754.570000000007</v>
      </c>
      <c r="JN11" s="343">
        <f t="shared" si="33"/>
        <v>85586.934329271593</v>
      </c>
      <c r="JO11" s="20">
        <v>60206.102500000008</v>
      </c>
      <c r="JP11" s="343">
        <f t="shared" si="34"/>
        <v>63028.351086537354</v>
      </c>
      <c r="JQ11" s="20">
        <v>23702.44</v>
      </c>
      <c r="JR11" s="343">
        <f t="shared" si="35"/>
        <v>24813.526335267859</v>
      </c>
      <c r="JS11" s="20">
        <v>197875.27570000003</v>
      </c>
      <c r="JT11" s="343">
        <f t="shared" si="36"/>
        <v>207150.96693337648</v>
      </c>
      <c r="JU11" s="20">
        <f t="shared" si="37"/>
        <v>1881506.5375661065</v>
      </c>
      <c r="JV11" s="20">
        <f t="shared" si="37"/>
        <v>1927746.3927005585</v>
      </c>
      <c r="JW11" s="369">
        <f t="shared" si="9"/>
        <v>5.9493229770445</v>
      </c>
      <c r="KA11" s="338">
        <v>6</v>
      </c>
      <c r="KB11" s="322">
        <v>6</v>
      </c>
      <c r="KC11" s="518">
        <f t="shared" si="10"/>
        <v>10</v>
      </c>
      <c r="KD11" s="518">
        <f t="shared" si="11"/>
        <v>10</v>
      </c>
      <c r="KE11" s="370">
        <f t="shared" si="12"/>
        <v>32402786</v>
      </c>
      <c r="KF11" s="370">
        <f t="shared" si="13"/>
        <v>33719503.75668896</v>
      </c>
      <c r="KG11" s="371">
        <f t="shared" si="38"/>
        <v>1</v>
      </c>
      <c r="KH11" s="371">
        <f t="shared" si="39"/>
        <v>1.0406359427454466</v>
      </c>
      <c r="KI11" s="371">
        <f t="shared" si="40"/>
        <v>0.93750116832962793</v>
      </c>
      <c r="KJ11" s="322" t="s">
        <v>441</v>
      </c>
      <c r="KK11" s="322"/>
      <c r="KL11" s="323"/>
      <c r="KM11" s="322"/>
      <c r="KN11" s="338">
        <v>6</v>
      </c>
      <c r="KO11" s="322">
        <v>6</v>
      </c>
      <c r="KP11" s="437" t="str">
        <f t="shared" si="14"/>
        <v>Q2</v>
      </c>
      <c r="KQ11" s="373">
        <f t="shared" si="15"/>
        <v>0.93750116832962793</v>
      </c>
      <c r="KR11" s="358">
        <f t="shared" si="41"/>
        <v>0</v>
      </c>
      <c r="KS11" s="358">
        <f t="shared" si="42"/>
        <v>0</v>
      </c>
      <c r="KT11" s="358">
        <f t="shared" si="16"/>
        <v>3511615</v>
      </c>
      <c r="KU11" s="358">
        <f t="shared" si="43"/>
        <v>3679220.8282112675</v>
      </c>
      <c r="KV11" s="358">
        <f t="shared" si="17"/>
        <v>1440397</v>
      </c>
      <c r="KW11" s="358">
        <f t="shared" si="18"/>
        <v>2019699.9322808341</v>
      </c>
      <c r="KX11" s="358">
        <f t="shared" si="44"/>
        <v>225000</v>
      </c>
      <c r="KY11" s="358">
        <f t="shared" si="45"/>
        <v>72995.441687150276</v>
      </c>
      <c r="KZ11" s="358">
        <f t="shared" si="46"/>
        <v>1665397</v>
      </c>
      <c r="LA11" s="358">
        <f t="shared" si="46"/>
        <v>2092695.3739679842</v>
      </c>
      <c r="LB11" s="326"/>
      <c r="LC11" s="323"/>
      <c r="LD11" s="322"/>
      <c r="LE11" s="374">
        <f t="shared" si="71"/>
        <v>6</v>
      </c>
      <c r="LF11" s="375">
        <v>5</v>
      </c>
      <c r="LG11" s="376">
        <f t="shared" si="72"/>
        <v>1</v>
      </c>
      <c r="LH11" s="376">
        <f t="shared" si="72"/>
        <v>1.0406359427454466</v>
      </c>
      <c r="LI11" s="377">
        <v>92.086954396969617</v>
      </c>
      <c r="LJ11" s="290">
        <f t="shared" si="73"/>
        <v>437318.31251499039</v>
      </c>
      <c r="LK11" s="377">
        <v>92.086954396969617</v>
      </c>
      <c r="LL11" s="290">
        <f t="shared" si="47"/>
        <v>46690.584407583716</v>
      </c>
      <c r="LM11" s="377">
        <v>92.086954396969617</v>
      </c>
      <c r="LN11" s="290">
        <f t="shared" si="48"/>
        <v>350109.37346880755</v>
      </c>
      <c r="LO11" s="377">
        <v>119.50379714140099</v>
      </c>
      <c r="LP11" s="290">
        <f t="shared" si="74"/>
        <v>434609.88964075956</v>
      </c>
      <c r="LQ11" s="377">
        <v>120.433043671646</v>
      </c>
      <c r="LR11" s="290">
        <f t="shared" si="49"/>
        <v>93219.758620192748</v>
      </c>
      <c r="LS11" s="377">
        <v>146.40099357416699</v>
      </c>
      <c r="LT11" s="290">
        <f t="shared" si="50"/>
        <v>75422.672625222083</v>
      </c>
      <c r="LU11" s="377">
        <v>116.183248398364</v>
      </c>
      <c r="LV11" s="290">
        <f t="shared" si="51"/>
        <v>83057.423693713456</v>
      </c>
      <c r="LW11" s="377">
        <v>117.5956284153</v>
      </c>
      <c r="LX11" s="378">
        <f t="shared" si="52"/>
        <v>262362.47992550232</v>
      </c>
      <c r="LY11" s="379">
        <f t="shared" si="53"/>
        <v>1700454.6996445484</v>
      </c>
      <c r="LZ11" s="379">
        <f t="shared" si="75"/>
        <v>1782790.4948967716</v>
      </c>
      <c r="MA11" s="103"/>
      <c r="MB11" s="335"/>
      <c r="MD11" s="338">
        <v>6</v>
      </c>
      <c r="ME11" s="380">
        <v>6</v>
      </c>
      <c r="MF11" s="20">
        <f t="shared" si="19"/>
        <v>1632569.3480000002</v>
      </c>
      <c r="MG11" s="20">
        <f t="shared" si="19"/>
        <v>1665397</v>
      </c>
      <c r="MH11" s="343">
        <f t="shared" si="20"/>
        <v>2092695.3739679842</v>
      </c>
      <c r="MI11" s="20">
        <f t="shared" si="21"/>
        <v>1881506.5375661065</v>
      </c>
      <c r="MJ11" s="20">
        <f t="shared" si="21"/>
        <v>1927746.3927005585</v>
      </c>
      <c r="MK11" s="343">
        <f t="shared" si="54"/>
        <v>1807264.4953999994</v>
      </c>
      <c r="ML11" s="20">
        <f t="shared" si="55"/>
        <v>-248937.1895661063</v>
      </c>
      <c r="MM11" s="20">
        <f>MG11-MJ11</f>
        <v>-262349.39270055853</v>
      </c>
      <c r="MN11" s="20">
        <f t="shared" si="55"/>
        <v>285430.87856798479</v>
      </c>
      <c r="MR11" s="338">
        <f>MR10+1</f>
        <v>6</v>
      </c>
      <c r="MS11" s="346" t="s">
        <v>219</v>
      </c>
      <c r="MT11" s="462">
        <v>5.3900000000000003E-2</v>
      </c>
      <c r="MX11" s="283">
        <f>MX10+1</f>
        <v>5</v>
      </c>
      <c r="MY11" s="388" t="s">
        <v>45</v>
      </c>
      <c r="MZ11" s="17">
        <v>4758928.0499999989</v>
      </c>
      <c r="NA11" s="381">
        <f t="shared" si="56"/>
        <v>0.2164783984185121</v>
      </c>
      <c r="NB11" s="97"/>
      <c r="NC11" s="18">
        <f>MZ11</f>
        <v>4758928.0499999989</v>
      </c>
      <c r="ND11" s="381">
        <f t="shared" si="57"/>
        <v>0.2164783984185121</v>
      </c>
      <c r="NH11" s="283">
        <f t="shared" si="86"/>
        <v>5</v>
      </c>
      <c r="NI11" s="388" t="str">
        <f t="shared" si="58"/>
        <v>Depot Viability Handling Commissions</v>
      </c>
      <c r="NJ11" s="17">
        <v>4822773.09</v>
      </c>
      <c r="NK11" s="17">
        <f>NC11</f>
        <v>4758928.0499999989</v>
      </c>
      <c r="NL11" s="17">
        <f t="shared" si="77"/>
        <v>-63845.040000000969</v>
      </c>
      <c r="NM11" s="395">
        <f t="shared" si="78"/>
        <v>-1.3238242564715183E-2</v>
      </c>
    </row>
    <row r="12" spans="2:387" ht="17.25" thickBot="1" x14ac:dyDescent="0.35">
      <c r="B12" s="265">
        <f>B11+1</f>
        <v>7</v>
      </c>
      <c r="C12" s="285" t="s">
        <v>220</v>
      </c>
      <c r="D12" s="284"/>
      <c r="E12" s="297"/>
      <c r="F12" s="18">
        <f>F9+F10+F11</f>
        <v>104395539.42615813</v>
      </c>
      <c r="G12" s="313">
        <f t="shared" si="22"/>
        <v>5.0229071493781339</v>
      </c>
      <c r="H12" s="18">
        <f>H9+H10+H11</f>
        <v>97875787.022206366</v>
      </c>
      <c r="I12" s="309">
        <f t="shared" si="23"/>
        <v>4.69789959413374</v>
      </c>
      <c r="J12" s="290">
        <f t="shared" si="59"/>
        <v>-6519752.4039517641</v>
      </c>
      <c r="K12" s="18">
        <f>K9+K10+K11</f>
        <v>99929255.975748464</v>
      </c>
      <c r="L12" s="309">
        <f t="shared" si="24"/>
        <v>4.7303895144743775</v>
      </c>
      <c r="M12" s="290">
        <f t="shared" si="60"/>
        <v>2053468.9535420984</v>
      </c>
      <c r="N12" s="18">
        <f>N9+N10+N11</f>
        <v>136639152.33683458</v>
      </c>
      <c r="O12" s="309">
        <f t="shared" si="25"/>
        <v>6.2155646289170212</v>
      </c>
      <c r="P12" s="290">
        <f t="shared" si="61"/>
        <v>36709896.361086115</v>
      </c>
      <c r="Q12" s="18">
        <f t="shared" si="62"/>
        <v>32243612.91067645</v>
      </c>
      <c r="R12" s="310">
        <f t="shared" si="63"/>
        <v>0.23744366440987186</v>
      </c>
      <c r="V12" s="249">
        <f t="shared" si="64"/>
        <v>5</v>
      </c>
      <c r="W12" s="463" t="s">
        <v>134</v>
      </c>
      <c r="X12" s="20">
        <f>X10-X7</f>
        <v>-2880561.9937847108</v>
      </c>
      <c r="Y12" s="20">
        <f t="shared" ref="Y12:AA12" si="89">Y10-Y7</f>
        <v>-1675208.4981671721</v>
      </c>
      <c r="Z12" s="20">
        <f t="shared" si="89"/>
        <v>2369604.2779440177</v>
      </c>
      <c r="AA12" s="20">
        <f t="shared" si="89"/>
        <v>-2186166.2140078652</v>
      </c>
      <c r="AB12" s="20"/>
      <c r="AC12" s="349"/>
      <c r="AF12" s="385">
        <f t="shared" si="80"/>
        <v>6</v>
      </c>
      <c r="AG12" s="388" t="s">
        <v>186</v>
      </c>
      <c r="AH12" s="389">
        <f>AH11*3600/$H$24</f>
        <v>3.0612009950408803</v>
      </c>
      <c r="AI12" s="389">
        <f>AI11*3600/$H$24</f>
        <v>0.19135051175630136</v>
      </c>
      <c r="AJ12" s="389">
        <f>AJ11*3600/$H$24</f>
        <v>0.92052309976738722</v>
      </c>
      <c r="AL12" s="464"/>
      <c r="AN12" s="283">
        <v>7</v>
      </c>
      <c r="AO12" s="284"/>
      <c r="AP12" s="282" t="s">
        <v>221</v>
      </c>
      <c r="AQ12" s="281"/>
      <c r="AR12" s="286"/>
      <c r="AS12" s="392"/>
      <c r="AT12" s="393"/>
      <c r="AU12" s="394"/>
      <c r="AV12" s="392"/>
      <c r="AW12" s="393"/>
      <c r="AX12" s="383"/>
      <c r="AY12" s="394"/>
      <c r="AZ12" s="392"/>
      <c r="BA12" s="465"/>
      <c r="BB12" s="383"/>
      <c r="BC12" s="394"/>
      <c r="BD12" s="392"/>
      <c r="BE12" s="465"/>
      <c r="BF12" s="383"/>
      <c r="BG12" s="394"/>
      <c r="BH12" s="392"/>
      <c r="BI12" s="465"/>
      <c r="BJ12" s="383"/>
      <c r="BK12" s="394"/>
      <c r="BL12" s="392"/>
      <c r="BM12" s="465"/>
      <c r="BN12" s="383"/>
      <c r="BO12" s="394"/>
      <c r="BP12" s="392"/>
      <c r="BQ12" s="465"/>
      <c r="BR12" s="383"/>
      <c r="BS12" s="394"/>
      <c r="BT12" s="97"/>
      <c r="BU12" s="97"/>
      <c r="BV12" s="97"/>
      <c r="BW12" s="18"/>
      <c r="BX12" s="19"/>
      <c r="BY12" s="19"/>
      <c r="BZ12" s="19"/>
      <c r="CA12" s="19"/>
      <c r="CB12" s="19"/>
      <c r="CC12" s="18"/>
      <c r="CD12" s="19"/>
      <c r="CE12" s="466"/>
      <c r="CF12" s="396"/>
      <c r="CG12" s="466"/>
      <c r="CU12" s="347"/>
      <c r="CV12" s="106"/>
      <c r="DA12" s="518"/>
      <c r="DF12" s="106"/>
      <c r="DH12" s="976"/>
      <c r="DI12" s="976"/>
      <c r="DJ12" s="355"/>
      <c r="DK12" s="355"/>
      <c r="DL12" s="355"/>
      <c r="DM12" s="344"/>
      <c r="DQ12" s="467">
        <v>7</v>
      </c>
      <c r="DR12" s="468" t="s">
        <v>72</v>
      </c>
      <c r="DS12" s="469">
        <f t="shared" ref="DS12:DZ12" si="90">SUM(DS7:DS11)</f>
        <v>3530087.5569999996</v>
      </c>
      <c r="DT12" s="469">
        <f t="shared" si="90"/>
        <v>6491478.3399999999</v>
      </c>
      <c r="DU12" s="469">
        <f t="shared" si="90"/>
        <v>14676147.762500003</v>
      </c>
      <c r="DV12" s="470">
        <f t="shared" si="90"/>
        <v>24697713.659500003</v>
      </c>
      <c r="DW12" s="469">
        <f t="shared" si="90"/>
        <v>4189591.6565660639</v>
      </c>
      <c r="DX12" s="469">
        <f t="shared" si="90"/>
        <v>6767505.2733571697</v>
      </c>
      <c r="DY12" s="469">
        <f t="shared" si="90"/>
        <v>10006244.025055984</v>
      </c>
      <c r="DZ12" s="469">
        <f t="shared" si="90"/>
        <v>20963340.954979219</v>
      </c>
      <c r="EN12" s="103"/>
      <c r="EO12" s="408"/>
      <c r="FD12" s="103"/>
      <c r="FE12" s="408"/>
      <c r="FG12" s="283">
        <f t="shared" si="84"/>
        <v>7</v>
      </c>
      <c r="FH12" s="406"/>
      <c r="FI12" s="407" t="s">
        <v>222</v>
      </c>
      <c r="FJ12" s="17">
        <v>148012.14499999996</v>
      </c>
      <c r="FK12" s="17">
        <v>277116.79999999999</v>
      </c>
      <c r="FL12" s="17">
        <v>328144.58999999997</v>
      </c>
      <c r="FM12" s="290">
        <f t="shared" si="28"/>
        <v>753273.53499999992</v>
      </c>
      <c r="FN12" s="17">
        <v>150334.44712121214</v>
      </c>
      <c r="FO12" s="17">
        <v>277176</v>
      </c>
      <c r="FP12" s="17">
        <v>328144.58999999997</v>
      </c>
      <c r="FQ12" s="17">
        <v>755655.03712121211</v>
      </c>
      <c r="FR12" s="17">
        <v>755655.03712121211</v>
      </c>
      <c r="FS12" s="103"/>
      <c r="FT12" s="408"/>
      <c r="FV12" s="283">
        <v>7</v>
      </c>
      <c r="FW12" s="286" t="s">
        <v>223</v>
      </c>
      <c r="FX12" s="17">
        <v>0</v>
      </c>
      <c r="FY12" s="17">
        <v>0</v>
      </c>
      <c r="FZ12" s="17">
        <v>0</v>
      </c>
      <c r="GA12" s="290">
        <v>0</v>
      </c>
      <c r="GB12" s="17">
        <v>0</v>
      </c>
      <c r="GC12" s="17">
        <v>0</v>
      </c>
      <c r="GD12" s="17">
        <v>0</v>
      </c>
      <c r="GE12" s="290">
        <f t="shared" si="87"/>
        <v>0</v>
      </c>
      <c r="GF12" s="103"/>
      <c r="GG12" s="301"/>
      <c r="GI12" s="467">
        <v>7</v>
      </c>
      <c r="GJ12" s="471" t="s">
        <v>89</v>
      </c>
      <c r="GK12" s="469">
        <f t="shared" ref="GK12:GR12" si="91">SUM(GK6:GK11)</f>
        <v>0</v>
      </c>
      <c r="GL12" s="469">
        <f t="shared" si="91"/>
        <v>0</v>
      </c>
      <c r="GM12" s="469">
        <f t="shared" si="91"/>
        <v>0</v>
      </c>
      <c r="GN12" s="470">
        <f t="shared" si="91"/>
        <v>0</v>
      </c>
      <c r="GO12" s="469">
        <f t="shared" si="91"/>
        <v>0</v>
      </c>
      <c r="GP12" s="469">
        <f t="shared" si="91"/>
        <v>0</v>
      </c>
      <c r="GQ12" s="469">
        <f t="shared" si="91"/>
        <v>0</v>
      </c>
      <c r="GR12" s="470">
        <f t="shared" si="91"/>
        <v>0</v>
      </c>
      <c r="GS12" s="103"/>
      <c r="GT12" s="301"/>
      <c r="GV12" s="283">
        <v>7</v>
      </c>
      <c r="GW12" s="286" t="s">
        <v>224</v>
      </c>
      <c r="GX12" s="17">
        <f>FX14</f>
        <v>246822.49</v>
      </c>
      <c r="GY12" s="17">
        <f t="shared" ref="GY12:GZ12" si="92">FY14</f>
        <v>506083.3639</v>
      </c>
      <c r="GZ12" s="17">
        <f t="shared" si="92"/>
        <v>1023549.4600000001</v>
      </c>
      <c r="HA12" s="290">
        <f t="shared" ref="HA12:HA13" si="93">SUM(GX12:GZ12)</f>
        <v>1776455.3139</v>
      </c>
      <c r="HB12" s="17">
        <f>GB14</f>
        <v>0</v>
      </c>
      <c r="HC12" s="17">
        <f t="shared" ref="HC12:HD12" si="94">GC14</f>
        <v>0</v>
      </c>
      <c r="HD12" s="17">
        <f t="shared" si="94"/>
        <v>0</v>
      </c>
      <c r="HE12" s="17">
        <f t="shared" ref="HE12" si="95">SUM(HB12:HD12)</f>
        <v>0</v>
      </c>
      <c r="HF12" s="103"/>
      <c r="HG12" s="301"/>
      <c r="HW12" s="283">
        <v>7</v>
      </c>
      <c r="HX12" s="306">
        <v>7</v>
      </c>
      <c r="HY12" s="306">
        <v>10</v>
      </c>
      <c r="HZ12" s="306">
        <v>12</v>
      </c>
      <c r="IA12" s="307">
        <v>35567652</v>
      </c>
      <c r="IB12" s="307">
        <v>43926482</v>
      </c>
      <c r="IC12" s="309">
        <f t="shared" si="5"/>
        <v>1.2</v>
      </c>
      <c r="ID12" s="309">
        <f t="shared" si="6"/>
        <v>1.2350121396824283</v>
      </c>
      <c r="IE12" s="310">
        <v>1</v>
      </c>
      <c r="IF12" s="310">
        <v>0</v>
      </c>
      <c r="IG12" s="310">
        <v>0</v>
      </c>
      <c r="IK12" s="410">
        <v>7</v>
      </c>
      <c r="IL12" s="317">
        <v>7</v>
      </c>
      <c r="IM12" s="313">
        <f t="shared" si="7"/>
        <v>1.2350121396824283</v>
      </c>
      <c r="IN12" s="17">
        <v>0</v>
      </c>
      <c r="IO12" s="290">
        <f t="shared" si="29"/>
        <v>0</v>
      </c>
      <c r="IP12" s="17">
        <v>3906290</v>
      </c>
      <c r="IQ12" s="290">
        <v>4775399</v>
      </c>
      <c r="IR12" s="17">
        <v>1655811.4653</v>
      </c>
      <c r="IS12" s="290">
        <v>2007169</v>
      </c>
      <c r="IT12" s="17">
        <v>225000</v>
      </c>
      <c r="IU12" s="17">
        <v>270000</v>
      </c>
      <c r="IV12" s="17">
        <f t="shared" si="30"/>
        <v>1880811.4653</v>
      </c>
      <c r="IW12" s="17">
        <f t="shared" si="30"/>
        <v>2277169</v>
      </c>
      <c r="IX12" s="314"/>
      <c r="IY12" s="315"/>
      <c r="IZ12" s="314"/>
      <c r="JA12" s="316">
        <v>7</v>
      </c>
      <c r="JB12" s="317">
        <v>7</v>
      </c>
      <c r="JC12" s="318">
        <f t="shared" si="8"/>
        <v>1.2</v>
      </c>
      <c r="JD12" s="319">
        <f t="shared" si="8"/>
        <v>1.2350121396824283</v>
      </c>
      <c r="JE12" s="17">
        <v>534015.33116052148</v>
      </c>
      <c r="JF12" s="290">
        <f t="shared" si="70"/>
        <v>659515.41675977618</v>
      </c>
      <c r="JG12" s="17">
        <v>140368.72915</v>
      </c>
      <c r="JH12" s="290">
        <f t="shared" si="31"/>
        <v>173357.08453204474</v>
      </c>
      <c r="JI12" s="17">
        <v>308346.51058947854</v>
      </c>
      <c r="JJ12" s="290">
        <f t="shared" si="32"/>
        <v>370015.81270737422</v>
      </c>
      <c r="JK12" s="17">
        <v>430609.7511015131</v>
      </c>
      <c r="JL12" s="290">
        <v>523413.17756288225</v>
      </c>
      <c r="JM12" s="17">
        <v>119760.47224999996</v>
      </c>
      <c r="JN12" s="290">
        <f t="shared" si="33"/>
        <v>147905.63708285053</v>
      </c>
      <c r="JO12" s="17">
        <v>53415.915999999997</v>
      </c>
      <c r="JP12" s="290">
        <f t="shared" si="34"/>
        <v>65969.304712256853</v>
      </c>
      <c r="JQ12" s="17">
        <v>62226.089999999989</v>
      </c>
      <c r="JR12" s="290">
        <f t="shared" si="35"/>
        <v>76849.976554971334</v>
      </c>
      <c r="JS12" s="17">
        <v>200200.63380000001</v>
      </c>
      <c r="JT12" s="290">
        <f t="shared" si="36"/>
        <v>247250.21311511629</v>
      </c>
      <c r="JU12" s="17">
        <f t="shared" si="37"/>
        <v>1848943.434051513</v>
      </c>
      <c r="JV12" s="17">
        <f t="shared" si="37"/>
        <v>2264276.6230272725</v>
      </c>
      <c r="JW12" s="320">
        <f t="shared" si="9"/>
        <v>5.1546960283030918</v>
      </c>
      <c r="KA12" s="283">
        <v>7</v>
      </c>
      <c r="KB12" s="306">
        <v>7</v>
      </c>
      <c r="KC12" s="97">
        <f t="shared" si="10"/>
        <v>12</v>
      </c>
      <c r="KD12" s="97">
        <f t="shared" si="11"/>
        <v>12</v>
      </c>
      <c r="KE12" s="289">
        <f t="shared" si="12"/>
        <v>43926482</v>
      </c>
      <c r="KF12" s="289">
        <f t="shared" si="13"/>
        <v>45711476.007560886</v>
      </c>
      <c r="KG12" s="321">
        <f t="shared" si="38"/>
        <v>1</v>
      </c>
      <c r="KH12" s="321">
        <f t="shared" si="39"/>
        <v>1.0406359427454466</v>
      </c>
      <c r="KI12" s="321">
        <f t="shared" si="40"/>
        <v>0.97785349069048233</v>
      </c>
      <c r="KJ12" s="306" t="s">
        <v>256</v>
      </c>
      <c r="KK12" s="322"/>
      <c r="KL12" s="323"/>
      <c r="KM12" s="322"/>
      <c r="KN12" s="283">
        <v>7</v>
      </c>
      <c r="KO12" s="306">
        <v>7</v>
      </c>
      <c r="KP12" s="324" t="str">
        <f t="shared" si="14"/>
        <v>Q3</v>
      </c>
      <c r="KQ12" s="325">
        <f t="shared" si="15"/>
        <v>0.97785349069048233</v>
      </c>
      <c r="KR12" s="17">
        <f t="shared" si="41"/>
        <v>0</v>
      </c>
      <c r="KS12" s="17">
        <f t="shared" si="42"/>
        <v>0</v>
      </c>
      <c r="KT12" s="17">
        <f t="shared" si="16"/>
        <v>4775399</v>
      </c>
      <c r="KU12" s="17">
        <f t="shared" si="43"/>
        <v>4987695.4248454841</v>
      </c>
      <c r="KV12" s="17">
        <f t="shared" si="17"/>
        <v>2007169</v>
      </c>
      <c r="KW12" s="17">
        <f t="shared" si="18"/>
        <v>2737984.0955878077</v>
      </c>
      <c r="KX12" s="17">
        <f t="shared" si="44"/>
        <v>270000</v>
      </c>
      <c r="KY12" s="17">
        <f t="shared" si="45"/>
        <v>98955.471154630228</v>
      </c>
      <c r="KZ12" s="17">
        <f t="shared" si="46"/>
        <v>2277169</v>
      </c>
      <c r="LA12" s="17">
        <f t="shared" si="46"/>
        <v>2836939.5667424379</v>
      </c>
      <c r="LB12" s="326"/>
      <c r="LC12" s="323"/>
      <c r="LD12" s="322"/>
      <c r="LE12" s="364">
        <f t="shared" si="71"/>
        <v>7</v>
      </c>
      <c r="LF12" s="365">
        <v>6</v>
      </c>
      <c r="LG12" s="411">
        <f t="shared" si="72"/>
        <v>1</v>
      </c>
      <c r="LH12" s="411">
        <f t="shared" si="72"/>
        <v>1.0406359427454466</v>
      </c>
      <c r="LI12" s="412">
        <v>113.92083696213525</v>
      </c>
      <c r="LJ12" s="343">
        <f t="shared" si="73"/>
        <v>573695.03751832258</v>
      </c>
      <c r="LK12" s="412">
        <v>113.92083696213525</v>
      </c>
      <c r="LL12" s="343">
        <f t="shared" si="47"/>
        <v>28249.458103357043</v>
      </c>
      <c r="LM12" s="412">
        <v>113.92083696213525</v>
      </c>
      <c r="LN12" s="343">
        <f t="shared" si="48"/>
        <v>311877.00254402391</v>
      </c>
      <c r="LO12" s="412">
        <v>118.41952153062</v>
      </c>
      <c r="LP12" s="343">
        <f t="shared" si="74"/>
        <v>489282.12489814521</v>
      </c>
      <c r="LQ12" s="412">
        <v>118.887537452888</v>
      </c>
      <c r="LR12" s="343">
        <f t="shared" si="49"/>
        <v>93582.961740492261</v>
      </c>
      <c r="LS12" s="412">
        <v>168.49721907230401</v>
      </c>
      <c r="LT12" s="343">
        <f t="shared" si="50"/>
        <v>55592.241392836688</v>
      </c>
      <c r="LU12" s="412">
        <v>107.679074448752</v>
      </c>
      <c r="LV12" s="343">
        <f t="shared" si="51"/>
        <v>28274.680548137134</v>
      </c>
      <c r="LW12" s="412">
        <v>115.99271402550001</v>
      </c>
      <c r="LX12" s="343">
        <f t="shared" si="52"/>
        <v>226710.98865468451</v>
      </c>
      <c r="LY12" s="20">
        <f t="shared" si="53"/>
        <v>1927746.3927005585</v>
      </c>
      <c r="LZ12" s="20">
        <f t="shared" si="75"/>
        <v>1807264.4953999994</v>
      </c>
      <c r="MA12" s="103"/>
      <c r="MB12" s="335"/>
      <c r="MD12" s="283">
        <v>7</v>
      </c>
      <c r="ME12" s="336">
        <v>7</v>
      </c>
      <c r="MF12" s="17">
        <f t="shared" si="19"/>
        <v>1880811.4653</v>
      </c>
      <c r="MG12" s="17">
        <f t="shared" si="19"/>
        <v>2277169</v>
      </c>
      <c r="MH12" s="290">
        <f t="shared" si="20"/>
        <v>2836939.5667424379</v>
      </c>
      <c r="MI12" s="17">
        <f t="shared" si="21"/>
        <v>1848943.434051513</v>
      </c>
      <c r="MJ12" s="17">
        <f t="shared" si="21"/>
        <v>2264276.6230272725</v>
      </c>
      <c r="MK12" s="290">
        <f t="shared" si="54"/>
        <v>2214130.7997160759</v>
      </c>
      <c r="ML12" s="17">
        <f t="shared" si="55"/>
        <v>31868.031248487066</v>
      </c>
      <c r="MM12" s="17">
        <f>MG12-MJ12</f>
        <v>12892.376972727478</v>
      </c>
      <c r="MN12" s="17">
        <f t="shared" si="55"/>
        <v>622808.76702636201</v>
      </c>
      <c r="MR12" s="283">
        <f t="shared" si="76"/>
        <v>7</v>
      </c>
      <c r="MS12" s="413" t="s">
        <v>225</v>
      </c>
      <c r="MT12" s="32">
        <f>MT9/(1-MT11)</f>
        <v>352473509.16339827</v>
      </c>
      <c r="MX12" s="338">
        <f>MX11+1</f>
        <v>6</v>
      </c>
      <c r="MY12" s="447" t="s">
        <v>220</v>
      </c>
      <c r="MZ12" s="24">
        <f>N12</f>
        <v>136639152.33683458</v>
      </c>
      <c r="NA12" s="472">
        <f t="shared" si="56"/>
        <v>6.2155646289170212</v>
      </c>
      <c r="NB12" s="453"/>
      <c r="NC12" s="22">
        <f>NC9+NC10+NC11</f>
        <v>113254906.94348985</v>
      </c>
      <c r="ND12" s="472">
        <f t="shared" si="57"/>
        <v>5.1518410470955356</v>
      </c>
      <c r="NH12" s="338">
        <f t="shared" si="86"/>
        <v>6</v>
      </c>
      <c r="NI12" s="447" t="str">
        <f t="shared" si="58"/>
        <v>Net Revenue</v>
      </c>
      <c r="NJ12" s="24">
        <v>106708111.01526074</v>
      </c>
      <c r="NK12" s="24">
        <f>MZ12</f>
        <v>136639152.33683458</v>
      </c>
      <c r="NL12" s="24">
        <f t="shared" si="77"/>
        <v>29931041.321573839</v>
      </c>
      <c r="NM12" s="473">
        <f t="shared" si="78"/>
        <v>0.2804945288300838</v>
      </c>
    </row>
    <row r="13" spans="2:387" x14ac:dyDescent="0.3">
      <c r="B13" s="226">
        <f t="shared" si="79"/>
        <v>8</v>
      </c>
      <c r="C13" s="474" t="s">
        <v>221</v>
      </c>
      <c r="D13" s="475"/>
      <c r="E13" s="476"/>
      <c r="F13" s="15"/>
      <c r="G13" s="341"/>
      <c r="H13" s="15"/>
      <c r="I13" s="342"/>
      <c r="J13" s="343"/>
      <c r="K13" s="15"/>
      <c r="L13" s="342"/>
      <c r="M13" s="343"/>
      <c r="N13" s="15"/>
      <c r="O13" s="342"/>
      <c r="P13" s="343"/>
      <c r="Q13" s="15"/>
      <c r="R13" s="344"/>
      <c r="V13" s="275"/>
      <c r="W13" s="276" t="s">
        <v>27</v>
      </c>
      <c r="X13" s="415"/>
      <c r="Y13" s="416"/>
      <c r="Z13" s="416"/>
      <c r="AA13" s="416"/>
      <c r="AB13" s="279"/>
      <c r="AC13" s="351"/>
      <c r="AF13" s="417">
        <f t="shared" si="80"/>
        <v>7</v>
      </c>
      <c r="AG13" s="418" t="s">
        <v>195</v>
      </c>
      <c r="AH13" s="477">
        <f>JE26/AH11</f>
        <v>20.537971247053672</v>
      </c>
      <c r="AI13" s="477">
        <f>JG26/AI11</f>
        <v>19.390724851022238</v>
      </c>
      <c r="AJ13" s="477">
        <f>JI26/AJ11</f>
        <v>32.342338831236454</v>
      </c>
      <c r="AL13" s="464"/>
      <c r="AN13" s="338">
        <v>8</v>
      </c>
      <c r="AO13" s="96"/>
      <c r="AQ13" s="518" t="s">
        <v>47</v>
      </c>
      <c r="AR13" s="340"/>
      <c r="AS13" s="348">
        <v>12784699.6164</v>
      </c>
      <c r="AT13" s="349">
        <v>1.2467034624748656</v>
      </c>
      <c r="AU13" s="350"/>
      <c r="AV13" s="348">
        <v>13940512.122199997</v>
      </c>
      <c r="AW13" s="349">
        <v>1.2917708159017343</v>
      </c>
      <c r="AX13" s="351">
        <f t="shared" ref="AX13:AX20" si="96">AW13/AT13-1</f>
        <v>3.6149216540559026E-2</v>
      </c>
      <c r="AY13" s="350"/>
      <c r="AZ13" s="348">
        <v>16686157.735618668</v>
      </c>
      <c r="BA13" s="349">
        <v>1.2933634349589591</v>
      </c>
      <c r="BB13" s="351">
        <f t="shared" ref="BB13:BB20" si="97">BA13/AW13-1</f>
        <v>1.2328959886844792E-3</v>
      </c>
      <c r="BC13" s="350"/>
      <c r="BD13" s="348">
        <v>19121063.134010617</v>
      </c>
      <c r="BE13" s="349">
        <v>1.3002123037527811</v>
      </c>
      <c r="BF13" s="351">
        <f t="shared" ref="BF13:BF20" si="98">BE13/BA13-1</f>
        <v>5.2953938612307905E-3</v>
      </c>
      <c r="BG13" s="350"/>
      <c r="BH13" s="348">
        <v>21345531.913160004</v>
      </c>
      <c r="BI13" s="349">
        <v>1.4046426840756656</v>
      </c>
      <c r="BJ13" s="351">
        <f t="shared" ref="BJ13:BJ20" si="99">BI13/BE13-1</f>
        <v>8.0317945016724401E-2</v>
      </c>
      <c r="BK13" s="350"/>
      <c r="BL13" s="348">
        <v>23918047.727200001</v>
      </c>
      <c r="BM13" s="349">
        <v>1.4218898216681388</v>
      </c>
      <c r="BN13" s="351">
        <f t="shared" ref="BN13:BN20" si="100">BM13/BI13-1</f>
        <v>1.2278665448517856E-2</v>
      </c>
      <c r="BO13" s="350"/>
      <c r="BP13" s="348">
        <v>28535397.766300008</v>
      </c>
      <c r="BQ13" s="349">
        <v>1.5384698585450844</v>
      </c>
      <c r="BR13" s="351">
        <f t="shared" ref="BR13:BR20" si="101">BQ13/BM13-1</f>
        <v>8.1989500944718685E-2</v>
      </c>
      <c r="BS13" s="350"/>
      <c r="BT13" s="518">
        <v>32304174</v>
      </c>
      <c r="BU13" s="518">
        <v>1.65</v>
      </c>
      <c r="BV13" s="518">
        <f t="shared" ref="BV13:BV20" si="102">BU13/BQ13-1</f>
        <v>7.2494199893125222E-2</v>
      </c>
      <c r="BW13" s="15">
        <v>36103152.515199989</v>
      </c>
      <c r="BX13" s="16">
        <v>1.8651083200592218</v>
      </c>
      <c r="BY13" s="16">
        <f t="shared" si="65"/>
        <v>0.13036867882377079</v>
      </c>
      <c r="BZ13" s="16">
        <v>36687111.743471108</v>
      </c>
      <c r="CA13" s="16">
        <v>1.7984785294214409</v>
      </c>
      <c r="CB13" s="16">
        <f t="shared" si="66"/>
        <v>-3.5724354409434667E-2</v>
      </c>
      <c r="CC13" s="15">
        <f t="shared" ref="CC13:CD16" si="103">F14</f>
        <v>37593268.407299995</v>
      </c>
      <c r="CD13" s="16">
        <f t="shared" si="103"/>
        <v>1.8087697778034015</v>
      </c>
      <c r="CE13" s="352">
        <f t="shared" ref="CE13:CE20" si="104">CD13/CA13-1</f>
        <v>5.722196964603965E-3</v>
      </c>
      <c r="CF13" s="353">
        <f t="shared" si="68"/>
        <v>1.9404889856837917</v>
      </c>
      <c r="CG13" s="352">
        <f t="shared" ref="CG13:CG23" si="105">(CF13+1)^(1/(2022-2004))-1</f>
        <v>6.1752540262295819E-2</v>
      </c>
      <c r="DA13" s="518"/>
      <c r="DH13" s="976"/>
      <c r="DI13" s="976"/>
      <c r="DJ13" s="355"/>
      <c r="DK13" s="355"/>
      <c r="DL13" s="355"/>
      <c r="DM13" s="344"/>
      <c r="DW13" s="96"/>
      <c r="DX13" s="96"/>
      <c r="DY13" s="96"/>
      <c r="DZ13" s="96"/>
      <c r="EB13" s="94"/>
      <c r="EN13" s="103"/>
      <c r="EO13" s="408"/>
      <c r="FD13" s="103"/>
      <c r="FE13" s="408"/>
      <c r="FG13" s="338">
        <f t="shared" si="84"/>
        <v>8</v>
      </c>
      <c r="FH13" s="360"/>
      <c r="FI13" s="361" t="s">
        <v>226</v>
      </c>
      <c r="FJ13" s="20">
        <v>372570.14490000001</v>
      </c>
      <c r="FK13" s="20">
        <v>432666.99</v>
      </c>
      <c r="FL13" s="20">
        <v>764335.16999999993</v>
      </c>
      <c r="FM13" s="343">
        <f t="shared" si="28"/>
        <v>1569572.3048999999</v>
      </c>
      <c r="FN13" s="20">
        <v>383216.99338484858</v>
      </c>
      <c r="FO13" s="20">
        <v>433325.38999999996</v>
      </c>
      <c r="FP13" s="20">
        <v>764335.17</v>
      </c>
      <c r="FQ13" s="20">
        <v>1580877.5533848486</v>
      </c>
      <c r="FR13" s="20">
        <v>1580877.5533848486</v>
      </c>
      <c r="FS13" s="103"/>
      <c r="FT13" s="408"/>
      <c r="FV13" s="456">
        <v>8</v>
      </c>
      <c r="FW13" s="478" t="s">
        <v>227</v>
      </c>
      <c r="FX13" s="20">
        <v>118240.69</v>
      </c>
      <c r="FY13" s="20">
        <v>400895.28</v>
      </c>
      <c r="FZ13" s="20">
        <v>671940.67</v>
      </c>
      <c r="GA13" s="343">
        <v>1191076.6400000001</v>
      </c>
      <c r="GB13" s="20">
        <v>0</v>
      </c>
      <c r="GC13" s="20">
        <v>0</v>
      </c>
      <c r="GD13" s="20">
        <v>0</v>
      </c>
      <c r="GE13" s="343">
        <f t="shared" si="1"/>
        <v>0</v>
      </c>
      <c r="GG13" s="301"/>
      <c r="GT13" s="301"/>
      <c r="GV13" s="456">
        <v>8</v>
      </c>
      <c r="GW13" s="478" t="s">
        <v>228</v>
      </c>
      <c r="GX13" s="20">
        <f>GK12</f>
        <v>0</v>
      </c>
      <c r="GY13" s="20">
        <f t="shared" ref="GY13:GZ13" si="106">GL12</f>
        <v>0</v>
      </c>
      <c r="GZ13" s="20">
        <f t="shared" si="106"/>
        <v>0</v>
      </c>
      <c r="HA13" s="343">
        <f t="shared" si="93"/>
        <v>0</v>
      </c>
      <c r="HB13" s="20">
        <f>GO12</f>
        <v>0</v>
      </c>
      <c r="HC13" s="20">
        <f t="shared" ref="HC13:HE13" si="107">GP12</f>
        <v>0</v>
      </c>
      <c r="HD13" s="20">
        <f t="shared" si="107"/>
        <v>0</v>
      </c>
      <c r="HE13" s="20">
        <f t="shared" si="107"/>
        <v>0</v>
      </c>
      <c r="HG13" s="301"/>
      <c r="HW13" s="338">
        <v>8</v>
      </c>
      <c r="HX13" s="322">
        <v>8</v>
      </c>
      <c r="HY13" s="322">
        <v>11</v>
      </c>
      <c r="HZ13" s="322">
        <v>10</v>
      </c>
      <c r="IA13" s="347">
        <v>46754320</v>
      </c>
      <c r="IB13" s="347">
        <v>42400765</v>
      </c>
      <c r="IC13" s="342">
        <f t="shared" si="5"/>
        <v>0.90909090909090906</v>
      </c>
      <c r="ID13" s="342">
        <f t="shared" si="6"/>
        <v>0.90688443335289659</v>
      </c>
      <c r="IE13" s="344">
        <v>1</v>
      </c>
      <c r="IF13" s="344">
        <v>0</v>
      </c>
      <c r="IG13" s="344">
        <v>0</v>
      </c>
      <c r="IK13" s="364">
        <v>8</v>
      </c>
      <c r="IL13" s="365">
        <v>8</v>
      </c>
      <c r="IM13" s="341">
        <f t="shared" si="7"/>
        <v>0.90688443335289659</v>
      </c>
      <c r="IN13" s="20">
        <v>1215</v>
      </c>
      <c r="IO13" s="343">
        <f t="shared" si="29"/>
        <v>1101.8645865237693</v>
      </c>
      <c r="IP13" s="20">
        <v>5068135</v>
      </c>
      <c r="IQ13" s="343">
        <v>4100517</v>
      </c>
      <c r="IR13" s="20">
        <v>2068139.1013000002</v>
      </c>
      <c r="IS13" s="343">
        <v>1665222</v>
      </c>
      <c r="IT13" s="20">
        <v>247500</v>
      </c>
      <c r="IU13" s="20">
        <v>225000</v>
      </c>
      <c r="IV13" s="20">
        <f t="shared" si="30"/>
        <v>2316854.1013000002</v>
      </c>
      <c r="IW13" s="20">
        <f t="shared" si="30"/>
        <v>1891323.8645865237</v>
      </c>
      <c r="IX13" s="314"/>
      <c r="IY13" s="315"/>
      <c r="IZ13" s="314"/>
      <c r="JA13" s="366">
        <v>8</v>
      </c>
      <c r="JB13" s="365">
        <v>8</v>
      </c>
      <c r="JC13" s="367">
        <f t="shared" si="8"/>
        <v>0.90909090909090906</v>
      </c>
      <c r="JD13" s="368">
        <f t="shared" si="8"/>
        <v>0.90688443335289659</v>
      </c>
      <c r="JE13" s="20">
        <v>765725.39359878015</v>
      </c>
      <c r="JF13" s="343">
        <f t="shared" si="70"/>
        <v>694424.43967775349</v>
      </c>
      <c r="JG13" s="20">
        <v>88308.025000000009</v>
      </c>
      <c r="JH13" s="343">
        <f t="shared" si="31"/>
        <v>80085.17321263843</v>
      </c>
      <c r="JI13" s="20">
        <v>479200.50340121984</v>
      </c>
      <c r="JJ13" s="343">
        <f t="shared" si="32"/>
        <v>435636.82127383619</v>
      </c>
      <c r="JK13" s="20">
        <v>627154.02980366477</v>
      </c>
      <c r="JL13" s="343">
        <v>592911.97216258664</v>
      </c>
      <c r="JM13" s="20">
        <v>44114.474999999991</v>
      </c>
      <c r="JN13" s="343">
        <f t="shared" si="33"/>
        <v>40006.730663035516</v>
      </c>
      <c r="JO13" s="20">
        <v>66525.029500000019</v>
      </c>
      <c r="JP13" s="343">
        <f t="shared" si="34"/>
        <v>60330.513681892247</v>
      </c>
      <c r="JQ13" s="20">
        <v>54149.519</v>
      </c>
      <c r="JR13" s="343">
        <f t="shared" si="35"/>
        <v>49107.355854646907</v>
      </c>
      <c r="JS13" s="20">
        <v>291219.13010000007</v>
      </c>
      <c r="JT13" s="343">
        <f t="shared" si="36"/>
        <v>264102.09578226204</v>
      </c>
      <c r="JU13" s="20">
        <f t="shared" si="37"/>
        <v>2416396.105403665</v>
      </c>
      <c r="JV13" s="20">
        <f t="shared" si="37"/>
        <v>2216605.1023086514</v>
      </c>
      <c r="JW13" s="369">
        <f t="shared" si="9"/>
        <v>5.2277479010311527</v>
      </c>
      <c r="KA13" s="338">
        <v>8</v>
      </c>
      <c r="KB13" s="322">
        <v>8</v>
      </c>
      <c r="KC13" s="518">
        <f t="shared" si="10"/>
        <v>10</v>
      </c>
      <c r="KD13" s="518">
        <f t="shared" si="11"/>
        <v>10</v>
      </c>
      <c r="KE13" s="370">
        <f t="shared" si="12"/>
        <v>42400765</v>
      </c>
      <c r="KF13" s="370">
        <f t="shared" si="13"/>
        <v>44123760.058903135</v>
      </c>
      <c r="KG13" s="371">
        <f t="shared" si="38"/>
        <v>1</v>
      </c>
      <c r="KH13" s="371">
        <f t="shared" si="39"/>
        <v>1.0406359427454466</v>
      </c>
      <c r="KI13" s="371">
        <f t="shared" si="40"/>
        <v>1.0479965520142052</v>
      </c>
      <c r="KJ13" s="322" t="s">
        <v>440</v>
      </c>
      <c r="KK13" s="322"/>
      <c r="KL13" s="323"/>
      <c r="KM13" s="322"/>
      <c r="KN13" s="338">
        <v>8</v>
      </c>
      <c r="KO13" s="322">
        <v>8</v>
      </c>
      <c r="KP13" s="437" t="str">
        <f t="shared" si="14"/>
        <v>Q4</v>
      </c>
      <c r="KQ13" s="373">
        <f t="shared" si="15"/>
        <v>1.0479965520142052</v>
      </c>
      <c r="KR13" s="358">
        <f t="shared" si="41"/>
        <v>1101.8645865237693</v>
      </c>
      <c r="KS13" s="358">
        <f t="shared" si="42"/>
        <v>1154.7502874634681</v>
      </c>
      <c r="KT13" s="358">
        <f t="shared" si="16"/>
        <v>4100517</v>
      </c>
      <c r="KU13" s="358">
        <f t="shared" si="43"/>
        <v>4814455.6989664808</v>
      </c>
      <c r="KV13" s="358">
        <f t="shared" si="17"/>
        <v>1665222</v>
      </c>
      <c r="KW13" s="358">
        <f t="shared" si="18"/>
        <v>2642884.5408279262</v>
      </c>
      <c r="KX13" s="358">
        <f t="shared" si="44"/>
        <v>225000</v>
      </c>
      <c r="KY13" s="358">
        <f t="shared" si="45"/>
        <v>95518.409097540629</v>
      </c>
      <c r="KZ13" s="358">
        <f t="shared" si="46"/>
        <v>1891323.8645865237</v>
      </c>
      <c r="LA13" s="358">
        <f t="shared" si="46"/>
        <v>2739557.7002129303</v>
      </c>
      <c r="LB13" s="326"/>
      <c r="LC13" s="323"/>
      <c r="LD13" s="322"/>
      <c r="LE13" s="374">
        <f t="shared" si="71"/>
        <v>8</v>
      </c>
      <c r="LF13" s="375">
        <v>7</v>
      </c>
      <c r="LG13" s="376">
        <f t="shared" si="72"/>
        <v>1</v>
      </c>
      <c r="LH13" s="376">
        <f t="shared" si="72"/>
        <v>1.0406359427454466</v>
      </c>
      <c r="LI13" s="377">
        <v>106.45762205358784</v>
      </c>
      <c r="LJ13" s="290">
        <f t="shared" si="73"/>
        <v>605338.39693863096</v>
      </c>
      <c r="LK13" s="377">
        <v>106.45762205358784</v>
      </c>
      <c r="LL13" s="290">
        <f t="shared" si="47"/>
        <v>159116.37087144281</v>
      </c>
      <c r="LM13" s="377">
        <v>106.45762205358784</v>
      </c>
      <c r="LN13" s="290">
        <f t="shared" si="48"/>
        <v>326358.35275206564</v>
      </c>
      <c r="LO13" s="377">
        <v>118.614283549666</v>
      </c>
      <c r="LP13" s="290">
        <f t="shared" si="74"/>
        <v>547502.34391122684</v>
      </c>
      <c r="LQ13" s="377">
        <v>119.48337591187899</v>
      </c>
      <c r="LR13" s="290">
        <f t="shared" si="49"/>
        <v>160917.3561026949</v>
      </c>
      <c r="LS13" s="377">
        <v>157.07111615098</v>
      </c>
      <c r="LT13" s="290">
        <f t="shared" si="50"/>
        <v>62418.963613674918</v>
      </c>
      <c r="LU13" s="377">
        <v>112.15574935818501</v>
      </c>
      <c r="LV13" s="290">
        <f t="shared" si="51"/>
        <v>84074.197582171779</v>
      </c>
      <c r="LW13" s="377">
        <v>116.939890710382</v>
      </c>
      <c r="LX13" s="378">
        <f t="shared" si="52"/>
        <v>268404.81794416788</v>
      </c>
      <c r="LY13" s="379">
        <f t="shared" si="53"/>
        <v>2264276.6230272725</v>
      </c>
      <c r="LZ13" s="379">
        <f t="shared" si="75"/>
        <v>2214130.7997160759</v>
      </c>
      <c r="MA13" s="103"/>
      <c r="MB13" s="335"/>
      <c r="MD13" s="338">
        <v>8</v>
      </c>
      <c r="ME13" s="380">
        <v>8</v>
      </c>
      <c r="MF13" s="20">
        <f t="shared" si="19"/>
        <v>2316854.1013000002</v>
      </c>
      <c r="MG13" s="20">
        <f t="shared" si="19"/>
        <v>1891323.8645865237</v>
      </c>
      <c r="MH13" s="343">
        <f t="shared" si="20"/>
        <v>2739557.7002129303</v>
      </c>
      <c r="MI13" s="20">
        <f t="shared" si="21"/>
        <v>2416396.105403665</v>
      </c>
      <c r="MJ13" s="20">
        <f t="shared" si="21"/>
        <v>2216605.1023086514</v>
      </c>
      <c r="MK13" s="343">
        <f t="shared" si="54"/>
        <v>2322994.5043965611</v>
      </c>
      <c r="ML13" s="20">
        <f t="shared" si="55"/>
        <v>-99542.004103664774</v>
      </c>
      <c r="MM13" s="20">
        <f t="shared" si="55"/>
        <v>-325281.2377221277</v>
      </c>
      <c r="MN13" s="20">
        <f t="shared" si="55"/>
        <v>416563.19581636926</v>
      </c>
      <c r="MR13" s="338">
        <f t="shared" si="76"/>
        <v>8</v>
      </c>
      <c r="MS13" s="346" t="s">
        <v>229</v>
      </c>
      <c r="MT13" s="479">
        <f>MT12-MT9</f>
        <v>18998322.143907189</v>
      </c>
      <c r="MX13" s="283">
        <f t="shared" si="85"/>
        <v>7</v>
      </c>
      <c r="MY13" s="285" t="s">
        <v>221</v>
      </c>
      <c r="MZ13" s="17"/>
      <c r="NA13" s="381"/>
      <c r="NB13" s="97"/>
      <c r="NC13" s="18"/>
      <c r="ND13" s="381"/>
      <c r="NH13" s="283">
        <f t="shared" si="86"/>
        <v>7</v>
      </c>
      <c r="NI13" s="285" t="str">
        <f t="shared" si="58"/>
        <v>Expenses</v>
      </c>
      <c r="NJ13" s="17"/>
      <c r="NK13" s="17"/>
      <c r="NL13" s="17"/>
      <c r="NM13" s="395"/>
      <c r="NQ13" s="480"/>
      <c r="NR13" s="480"/>
      <c r="NS13" s="17"/>
      <c r="NT13" s="383"/>
    </row>
    <row r="14" spans="2:387" ht="17.25" thickBot="1" x14ac:dyDescent="0.35">
      <c r="B14" s="265">
        <f t="shared" si="79"/>
        <v>9</v>
      </c>
      <c r="C14" s="384"/>
      <c r="D14" s="97" t="s">
        <v>47</v>
      </c>
      <c r="E14" s="286"/>
      <c r="F14" s="18">
        <f>CP9</f>
        <v>37593268.407299995</v>
      </c>
      <c r="G14" s="313">
        <f t="shared" ref="G14:G22" si="108">F14/F$24*100</f>
        <v>1.8087697778034015</v>
      </c>
      <c r="H14" s="18">
        <f>CT9</f>
        <v>36384668.568564288</v>
      </c>
      <c r="I14" s="309">
        <f t="shared" ref="I14:I22" si="109">H14/H$24*100</f>
        <v>1.7464127227111574</v>
      </c>
      <c r="J14" s="290">
        <f t="shared" si="59"/>
        <v>-1208599.8387357071</v>
      </c>
      <c r="K14" s="18">
        <f>JF26</f>
        <v>36992330.313946411</v>
      </c>
      <c r="L14" s="309">
        <f t="shared" ref="L14:L22" si="110">K14/K$24*100</f>
        <v>1.7511201271780921</v>
      </c>
      <c r="M14" s="290">
        <f t="shared" si="60"/>
        <v>607661.7453821227</v>
      </c>
      <c r="N14" s="18">
        <f>LJ27</f>
        <v>33975077.535708085</v>
      </c>
      <c r="O14" s="309">
        <f t="shared" ref="O14:O22" si="111">N14/N$24*100</f>
        <v>1.545488877705318</v>
      </c>
      <c r="P14" s="290">
        <f t="shared" si="61"/>
        <v>-3017252.7782383263</v>
      </c>
      <c r="Q14" s="18">
        <f t="shared" si="62"/>
        <v>-3618190.8715919107</v>
      </c>
      <c r="R14" s="310">
        <f t="shared" si="63"/>
        <v>-0.14555799379720735</v>
      </c>
      <c r="V14" s="249">
        <f>V12+1</f>
        <v>6</v>
      </c>
      <c r="W14" s="345" t="s">
        <v>176</v>
      </c>
      <c r="X14" s="20">
        <f>SUMPRODUCT($MM$6:$MM$25,IE6:IE25)</f>
        <v>-1972230.5140231708</v>
      </c>
      <c r="Y14" s="20">
        <f>SUMPRODUCT($MM$6:$MM$25,IF6:IF25)</f>
        <v>1003817.910765946</v>
      </c>
      <c r="Z14" s="20">
        <f>SUMPRODUCT($MM$6:$MM$25,IG6:IG25)</f>
        <v>3951110.9603480091</v>
      </c>
      <c r="AA14" s="20">
        <f>SUM(X14:Z14)</f>
        <v>2982698.3570907842</v>
      </c>
      <c r="AB14" s="20"/>
      <c r="AF14" s="385">
        <f t="shared" si="80"/>
        <v>8</v>
      </c>
      <c r="AG14" s="282" t="s">
        <v>27</v>
      </c>
      <c r="AH14" s="97"/>
      <c r="AI14" s="97"/>
      <c r="AJ14" s="97"/>
      <c r="AL14" s="464"/>
      <c r="AN14" s="283">
        <v>9</v>
      </c>
      <c r="AO14" s="390"/>
      <c r="AP14" s="97"/>
      <c r="AQ14" s="97" t="s">
        <v>230</v>
      </c>
      <c r="AR14" s="286"/>
      <c r="AS14" s="392">
        <v>936011.74</v>
      </c>
      <c r="AT14" s="393">
        <v>9.1275439563570718E-2</v>
      </c>
      <c r="AU14" s="394"/>
      <c r="AV14" s="392">
        <v>1523068.1600000001</v>
      </c>
      <c r="AW14" s="393">
        <v>0.14113218958319465</v>
      </c>
      <c r="AX14" s="383">
        <f t="shared" si="96"/>
        <v>0.54622306129679221</v>
      </c>
      <c r="AY14" s="394"/>
      <c r="AZ14" s="392">
        <v>2211207.06</v>
      </c>
      <c r="BA14" s="393">
        <v>0.17139322328365042</v>
      </c>
      <c r="BB14" s="383">
        <f t="shared" si="97"/>
        <v>0.2144162418922686</v>
      </c>
      <c r="BC14" s="394"/>
      <c r="BD14" s="392">
        <v>2871478.9273906099</v>
      </c>
      <c r="BE14" s="393">
        <v>0.19525756518837487</v>
      </c>
      <c r="BF14" s="383">
        <f t="shared" si="98"/>
        <v>0.13923737151048088</v>
      </c>
      <c r="BG14" s="394"/>
      <c r="BH14" s="392">
        <v>3068616.0090000001</v>
      </c>
      <c r="BI14" s="393">
        <v>0.20193027022305846</v>
      </c>
      <c r="BJ14" s="383">
        <f t="shared" si="99"/>
        <v>3.4173861731022326E-2</v>
      </c>
      <c r="BK14" s="394"/>
      <c r="BL14" s="392">
        <v>3403828.76</v>
      </c>
      <c r="BM14" s="393">
        <v>0.20235219545286309</v>
      </c>
      <c r="BN14" s="383">
        <f t="shared" si="100"/>
        <v>2.0894600365688465E-3</v>
      </c>
      <c r="BO14" s="394"/>
      <c r="BP14" s="392">
        <v>4538272.1100000003</v>
      </c>
      <c r="BQ14" s="393">
        <v>0.24467837835281422</v>
      </c>
      <c r="BR14" s="383">
        <f t="shared" si="101"/>
        <v>0.20917086076197666</v>
      </c>
      <c r="BS14" s="394"/>
      <c r="BT14" s="97">
        <v>5378012</v>
      </c>
      <c r="BU14" s="97">
        <v>0.27</v>
      </c>
      <c r="BV14" s="97">
        <f t="shared" si="102"/>
        <v>0.10348941258174138</v>
      </c>
      <c r="BW14" s="18">
        <v>1768561.8457999995</v>
      </c>
      <c r="BX14" s="19">
        <v>9.1364858283556505E-2</v>
      </c>
      <c r="BY14" s="19">
        <f t="shared" si="65"/>
        <v>-0.66161163598682782</v>
      </c>
      <c r="BZ14" s="19">
        <v>1718931.8145400002</v>
      </c>
      <c r="CA14" s="19">
        <v>8.4265613047061122E-2</v>
      </c>
      <c r="CB14" s="19">
        <f t="shared" si="66"/>
        <v>-7.7702142485269743E-2</v>
      </c>
      <c r="CC14" s="18">
        <f t="shared" si="103"/>
        <v>2147244.1196499998</v>
      </c>
      <c r="CD14" s="19">
        <f t="shared" si="103"/>
        <v>0.10331291834244472</v>
      </c>
      <c r="CE14" s="395">
        <f t="shared" si="104"/>
        <v>0.22603888593020671</v>
      </c>
      <c r="CF14" s="396">
        <f t="shared" si="68"/>
        <v>1.2940354569163843</v>
      </c>
      <c r="CG14" s="395">
        <f t="shared" si="105"/>
        <v>4.7208938117930366E-2</v>
      </c>
      <c r="DA14" s="518"/>
      <c r="DW14" s="96"/>
      <c r="DX14" s="96"/>
      <c r="DY14" s="96"/>
      <c r="DZ14" s="96"/>
      <c r="EN14" s="103"/>
      <c r="EO14" s="408"/>
      <c r="FD14" s="103"/>
      <c r="FE14" s="408"/>
      <c r="FG14" s="283">
        <f t="shared" si="84"/>
        <v>9</v>
      </c>
      <c r="FH14" s="406"/>
      <c r="FI14" s="407" t="s">
        <v>231</v>
      </c>
      <c r="FJ14" s="17">
        <v>305</v>
      </c>
      <c r="FK14" s="17">
        <v>8147.64</v>
      </c>
      <c r="FL14" s="17">
        <v>47697.71</v>
      </c>
      <c r="FM14" s="290">
        <f t="shared" si="28"/>
        <v>56150.35</v>
      </c>
      <c r="FN14" s="17">
        <v>305</v>
      </c>
      <c r="FO14" s="17">
        <v>8147.64</v>
      </c>
      <c r="FP14" s="17">
        <v>47697.71</v>
      </c>
      <c r="FQ14" s="17">
        <v>56150.35</v>
      </c>
      <c r="FR14" s="17">
        <v>56150.35</v>
      </c>
      <c r="FS14" s="103"/>
      <c r="FT14" s="408"/>
      <c r="FV14" s="467">
        <v>9</v>
      </c>
      <c r="FW14" s="471" t="s">
        <v>89</v>
      </c>
      <c r="FX14" s="469">
        <f t="shared" ref="FX14:GE14" si="112">SUM(FX6:FX13)</f>
        <v>246822.49</v>
      </c>
      <c r="FY14" s="469">
        <f t="shared" si="112"/>
        <v>506083.3639</v>
      </c>
      <c r="FZ14" s="469">
        <f t="shared" si="112"/>
        <v>1023549.4600000001</v>
      </c>
      <c r="GA14" s="470">
        <f t="shared" si="112"/>
        <v>1776455.3139000002</v>
      </c>
      <c r="GB14" s="469">
        <f t="shared" si="112"/>
        <v>0</v>
      </c>
      <c r="GC14" s="469">
        <f t="shared" si="112"/>
        <v>0</v>
      </c>
      <c r="GD14" s="469">
        <f t="shared" si="112"/>
        <v>0</v>
      </c>
      <c r="GE14" s="470">
        <f t="shared" si="112"/>
        <v>0</v>
      </c>
      <c r="GG14" s="408"/>
      <c r="GT14" s="408"/>
      <c r="GV14" s="467">
        <v>9</v>
      </c>
      <c r="GW14" s="471" t="s">
        <v>89</v>
      </c>
      <c r="GX14" s="469">
        <f>SUM(GX6:GX13)</f>
        <v>338710.07999999996</v>
      </c>
      <c r="GY14" s="469">
        <f t="shared" ref="GY14:GZ14" si="113">SUM(GY6:GY13)</f>
        <v>639089.70390000008</v>
      </c>
      <c r="GZ14" s="469">
        <f t="shared" si="113"/>
        <v>1457690.61</v>
      </c>
      <c r="HA14" s="470">
        <f>SUM(HA6:HA13)</f>
        <v>2435490.3939</v>
      </c>
      <c r="HB14" s="469">
        <f>SUM(HB6:HB13)</f>
        <v>11038</v>
      </c>
      <c r="HC14" s="469">
        <f t="shared" ref="HC14:HD14" si="114">SUM(HC6:HC13)</f>
        <v>21162.850000000006</v>
      </c>
      <c r="HD14" s="469">
        <f t="shared" si="114"/>
        <v>183737.05000000002</v>
      </c>
      <c r="HE14" s="470">
        <f>SUM(HE6:HE13)</f>
        <v>215937.90000000002</v>
      </c>
      <c r="HF14" s="475"/>
      <c r="HG14" s="408"/>
      <c r="HT14" s="443"/>
      <c r="HW14" s="283">
        <v>9</v>
      </c>
      <c r="HX14" s="306">
        <v>9</v>
      </c>
      <c r="HY14" s="306">
        <v>10</v>
      </c>
      <c r="HZ14" s="306">
        <v>9</v>
      </c>
      <c r="IA14" s="307">
        <v>50085735</v>
      </c>
      <c r="IB14" s="307">
        <v>44598622</v>
      </c>
      <c r="IC14" s="309">
        <f t="shared" si="5"/>
        <v>0.9</v>
      </c>
      <c r="ID14" s="309">
        <f t="shared" si="6"/>
        <v>0.89044559294178272</v>
      </c>
      <c r="IE14" s="310">
        <v>1</v>
      </c>
      <c r="IF14" s="310">
        <v>0</v>
      </c>
      <c r="IG14" s="310">
        <v>0</v>
      </c>
      <c r="IK14" s="410">
        <v>9</v>
      </c>
      <c r="IL14" s="317">
        <v>9</v>
      </c>
      <c r="IM14" s="313">
        <f t="shared" si="7"/>
        <v>0.89044559294178272</v>
      </c>
      <c r="IN14" s="17">
        <v>2159</v>
      </c>
      <c r="IO14" s="290">
        <f t="shared" si="29"/>
        <v>1922.4720351613089</v>
      </c>
      <c r="IP14" s="17">
        <v>5473056</v>
      </c>
      <c r="IQ14" s="290">
        <v>4857219</v>
      </c>
      <c r="IR14" s="17">
        <v>2271628.8179000001</v>
      </c>
      <c r="IS14" s="290">
        <v>1988526</v>
      </c>
      <c r="IT14" s="17">
        <v>225000</v>
      </c>
      <c r="IU14" s="17">
        <v>202500</v>
      </c>
      <c r="IV14" s="17">
        <f t="shared" si="30"/>
        <v>2498787.8179000001</v>
      </c>
      <c r="IW14" s="17">
        <f t="shared" si="30"/>
        <v>2192948.4720351612</v>
      </c>
      <c r="IX14" s="314"/>
      <c r="IY14" s="315"/>
      <c r="IZ14" s="314"/>
      <c r="JA14" s="316">
        <v>9</v>
      </c>
      <c r="JB14" s="317">
        <v>9</v>
      </c>
      <c r="JC14" s="318">
        <f t="shared" si="8"/>
        <v>0.9</v>
      </c>
      <c r="JD14" s="319">
        <f t="shared" si="8"/>
        <v>0.89044559294178272</v>
      </c>
      <c r="JE14" s="17">
        <v>661661.50272715127</v>
      </c>
      <c r="JF14" s="290">
        <f t="shared" si="70"/>
        <v>589173.56912262924</v>
      </c>
      <c r="JG14" s="17">
        <v>71999.531000000003</v>
      </c>
      <c r="JH14" s="290">
        <f t="shared" si="31"/>
        <v>64111.665072825272</v>
      </c>
      <c r="JI14" s="17">
        <v>537177.27627284871</v>
      </c>
      <c r="JJ14" s="290">
        <f t="shared" si="32"/>
        <v>483459.54864556383</v>
      </c>
      <c r="JK14" s="17">
        <v>562035.46705548721</v>
      </c>
      <c r="JL14" s="290">
        <v>509053.48675124033</v>
      </c>
      <c r="JM14" s="17">
        <v>75881.84</v>
      </c>
      <c r="JN14" s="290">
        <f t="shared" si="33"/>
        <v>67568.650012313476</v>
      </c>
      <c r="JO14" s="17">
        <v>76271.200000000012</v>
      </c>
      <c r="JP14" s="290">
        <f t="shared" si="34"/>
        <v>67915.353908381308</v>
      </c>
      <c r="JQ14" s="17">
        <v>98619.73000000001</v>
      </c>
      <c r="JR14" s="290">
        <f t="shared" si="35"/>
        <v>87815.503955608525</v>
      </c>
      <c r="JS14" s="17">
        <v>286453.18775000004</v>
      </c>
      <c r="JT14" s="290">
        <f t="shared" si="36"/>
        <v>255070.97861611258</v>
      </c>
      <c r="JU14" s="17">
        <f t="shared" si="37"/>
        <v>2370099.7348054876</v>
      </c>
      <c r="JV14" s="17">
        <f t="shared" si="37"/>
        <v>2124168.7560846745</v>
      </c>
      <c r="JW14" s="320">
        <f t="shared" si="9"/>
        <v>4.762857372778635</v>
      </c>
      <c r="KA14" s="283">
        <v>9</v>
      </c>
      <c r="KB14" s="306">
        <v>9</v>
      </c>
      <c r="KC14" s="97">
        <f t="shared" si="10"/>
        <v>9</v>
      </c>
      <c r="KD14" s="97">
        <f t="shared" si="11"/>
        <v>9</v>
      </c>
      <c r="KE14" s="289">
        <f t="shared" si="12"/>
        <v>44598622</v>
      </c>
      <c r="KF14" s="289">
        <f t="shared" si="13"/>
        <v>46410929.050117813</v>
      </c>
      <c r="KG14" s="321">
        <f t="shared" si="38"/>
        <v>1</v>
      </c>
      <c r="KH14" s="321">
        <f t="shared" si="39"/>
        <v>1.0406359427454466</v>
      </c>
      <c r="KI14" s="321">
        <f t="shared" si="40"/>
        <v>0.94398382400856096</v>
      </c>
      <c r="KJ14" s="306" t="s">
        <v>441</v>
      </c>
      <c r="KK14" s="322"/>
      <c r="KL14" s="323"/>
      <c r="KM14" s="322"/>
      <c r="KN14" s="283">
        <v>9</v>
      </c>
      <c r="KO14" s="306">
        <v>9</v>
      </c>
      <c r="KP14" s="324" t="str">
        <f t="shared" si="14"/>
        <v>Q2</v>
      </c>
      <c r="KQ14" s="325">
        <f t="shared" si="15"/>
        <v>0.94398382400856096</v>
      </c>
      <c r="KR14" s="17">
        <f t="shared" si="41"/>
        <v>1922.4720351613089</v>
      </c>
      <c r="KS14" s="17">
        <f t="shared" si="42"/>
        <v>1814.7825033010931</v>
      </c>
      <c r="KT14" s="17">
        <f t="shared" si="16"/>
        <v>4857219</v>
      </c>
      <c r="KU14" s="17">
        <f t="shared" si="43"/>
        <v>5064014.5255386764</v>
      </c>
      <c r="KV14" s="17">
        <f t="shared" si="17"/>
        <v>1988526</v>
      </c>
      <c r="KW14" s="17">
        <f t="shared" si="18"/>
        <v>2779879.2928860663</v>
      </c>
      <c r="KX14" s="17">
        <f t="shared" si="44"/>
        <v>202500</v>
      </c>
      <c r="KY14" s="17">
        <f t="shared" si="45"/>
        <v>100469.63589884702</v>
      </c>
      <c r="KZ14" s="17">
        <f t="shared" si="46"/>
        <v>2192948.4720351612</v>
      </c>
      <c r="LA14" s="17">
        <f t="shared" si="46"/>
        <v>2882163.7112882147</v>
      </c>
      <c r="LB14" s="326"/>
      <c r="LC14" s="323"/>
      <c r="LD14" s="322"/>
      <c r="LE14" s="364">
        <f t="shared" si="71"/>
        <v>9</v>
      </c>
      <c r="LF14" s="365">
        <v>8</v>
      </c>
      <c r="LG14" s="411">
        <f t="shared" si="72"/>
        <v>1</v>
      </c>
      <c r="LH14" s="411">
        <f t="shared" si="72"/>
        <v>1.0406359427454466</v>
      </c>
      <c r="LI14" s="412">
        <v>92.086954396969617</v>
      </c>
      <c r="LJ14" s="343">
        <f t="shared" si="73"/>
        <v>736846.31973242643</v>
      </c>
      <c r="LK14" s="412">
        <v>92.086954396969617</v>
      </c>
      <c r="LL14" s="343">
        <f t="shared" si="47"/>
        <v>84977.51774728758</v>
      </c>
      <c r="LM14" s="412">
        <v>92.086954396969617</v>
      </c>
      <c r="LN14" s="343">
        <f t="shared" si="48"/>
        <v>444199.10595647164</v>
      </c>
      <c r="LO14" s="412">
        <v>119.50379714140099</v>
      </c>
      <c r="LP14" s="343">
        <f t="shared" si="74"/>
        <v>615583.30830531428</v>
      </c>
      <c r="LQ14" s="412">
        <v>120.433043671646</v>
      </c>
      <c r="LR14" s="343">
        <f t="shared" si="49"/>
        <v>43183.023527699777</v>
      </c>
      <c r="LS14" s="412">
        <v>146.40099357416699</v>
      </c>
      <c r="LT14" s="343">
        <f t="shared" si="50"/>
        <v>61244.060309704393</v>
      </c>
      <c r="LU14" s="412">
        <v>116.183248398364</v>
      </c>
      <c r="LV14" s="343">
        <f t="shared" si="51"/>
        <v>51861.320275773993</v>
      </c>
      <c r="LW14" s="412">
        <v>117.5956284153</v>
      </c>
      <c r="LX14" s="343">
        <f t="shared" si="52"/>
        <v>285099.84854188276</v>
      </c>
      <c r="LY14" s="20">
        <f t="shared" si="53"/>
        <v>2216605.1023086514</v>
      </c>
      <c r="LZ14" s="20">
        <f t="shared" si="75"/>
        <v>2322994.5043965611</v>
      </c>
      <c r="MA14" s="103"/>
      <c r="MB14" s="335"/>
      <c r="MD14" s="283">
        <v>9</v>
      </c>
      <c r="ME14" s="336">
        <v>9</v>
      </c>
      <c r="MF14" s="17">
        <f t="shared" si="19"/>
        <v>2498787.8179000001</v>
      </c>
      <c r="MG14" s="17">
        <f t="shared" si="19"/>
        <v>2192948.4720351612</v>
      </c>
      <c r="MH14" s="290">
        <f t="shared" si="20"/>
        <v>2882163.7112882147</v>
      </c>
      <c r="MI14" s="17">
        <f t="shared" si="21"/>
        <v>2370099.7348054876</v>
      </c>
      <c r="MJ14" s="17">
        <f t="shared" si="21"/>
        <v>2124168.7560846745</v>
      </c>
      <c r="MK14" s="290">
        <f t="shared" si="54"/>
        <v>2005180.9452083192</v>
      </c>
      <c r="ML14" s="17">
        <f t="shared" si="55"/>
        <v>128688.08309451258</v>
      </c>
      <c r="MM14" s="17">
        <f t="shared" si="55"/>
        <v>68779.715950486716</v>
      </c>
      <c r="MN14" s="17">
        <f t="shared" si="55"/>
        <v>876982.76607989543</v>
      </c>
      <c r="MR14" s="475"/>
      <c r="MX14" s="338">
        <f t="shared" si="85"/>
        <v>8</v>
      </c>
      <c r="MY14" s="346" t="s">
        <v>47</v>
      </c>
      <c r="MZ14" s="20">
        <f t="shared" ref="MZ14:MZ21" si="115">N14</f>
        <v>33975077.535708085</v>
      </c>
      <c r="NA14" s="414">
        <f t="shared" ref="NA14:NA21" si="116">MZ14/$MZ$34*100</f>
        <v>1.545488877705318</v>
      </c>
      <c r="NC14" s="15">
        <f t="shared" ref="NC14:NC20" si="117">MZ14</f>
        <v>33975077.535708085</v>
      </c>
      <c r="ND14" s="414">
        <f t="shared" ref="ND14:ND21" si="118">NC14/$ND$34*100</f>
        <v>1.545488877705318</v>
      </c>
      <c r="NH14" s="338">
        <f t="shared" si="86"/>
        <v>8</v>
      </c>
      <c r="NI14" s="346" t="str">
        <f t="shared" si="58"/>
        <v>Direct Labour</v>
      </c>
      <c r="NJ14" s="20">
        <v>49085970.937008202</v>
      </c>
      <c r="NK14" s="20">
        <f t="shared" ref="NK14:NK21" si="119">MZ14</f>
        <v>33975077.535708085</v>
      </c>
      <c r="NL14" s="20">
        <f t="shared" si="77"/>
        <v>-15110893.401300117</v>
      </c>
      <c r="NM14" s="351">
        <f t="shared" si="78"/>
        <v>-0.30784546200974322</v>
      </c>
    </row>
    <row r="15" spans="2:387" x14ac:dyDescent="0.3">
      <c r="B15" s="226">
        <f t="shared" si="79"/>
        <v>10</v>
      </c>
      <c r="C15" s="339"/>
      <c r="D15" s="518" t="s">
        <v>48</v>
      </c>
      <c r="E15" s="340"/>
      <c r="F15" s="15">
        <f>DA9</f>
        <v>2147244.1196499998</v>
      </c>
      <c r="G15" s="341">
        <f t="shared" si="108"/>
        <v>0.10331291834244472</v>
      </c>
      <c r="H15" s="15">
        <f>DD9</f>
        <v>2147299.9196500001</v>
      </c>
      <c r="I15" s="342">
        <f t="shared" si="109"/>
        <v>0.103067364543576</v>
      </c>
      <c r="J15" s="343">
        <f t="shared" si="59"/>
        <v>55.800000000279397</v>
      </c>
      <c r="K15" s="15">
        <f>JH26</f>
        <v>2193064.0614437284</v>
      </c>
      <c r="L15" s="342">
        <f t="shared" si="110"/>
        <v>0.10381391454912514</v>
      </c>
      <c r="M15" s="343">
        <f t="shared" si="60"/>
        <v>45764.14179372834</v>
      </c>
      <c r="N15" s="15">
        <f>LL27</f>
        <v>2035083.754130634</v>
      </c>
      <c r="O15" s="342">
        <f t="shared" si="111"/>
        <v>9.2573719777447105E-2</v>
      </c>
      <c r="P15" s="343">
        <f t="shared" si="61"/>
        <v>-157980.30731309438</v>
      </c>
      <c r="Q15" s="15">
        <f t="shared" si="62"/>
        <v>-112160.36551936576</v>
      </c>
      <c r="R15" s="344">
        <f t="shared" si="63"/>
        <v>-0.10394826452778227</v>
      </c>
      <c r="V15" s="385">
        <f t="shared" si="64"/>
        <v>7</v>
      </c>
      <c r="W15" s="386" t="s">
        <v>185</v>
      </c>
      <c r="X15" s="309">
        <f>X14/K$24*100</f>
        <v>-9.3360232221940578E-2</v>
      </c>
      <c r="Y15" s="309">
        <f>Y14/K$24*100</f>
        <v>4.7518113420970481E-2</v>
      </c>
      <c r="Z15" s="309">
        <f>Z14/K$24*100</f>
        <v>0.18703525483959274</v>
      </c>
      <c r="AA15" s="309">
        <f>AA14/K$24*100</f>
        <v>0.14119313603862266</v>
      </c>
      <c r="AB15" s="342"/>
      <c r="AC15" s="348"/>
      <c r="AF15" s="249">
        <f t="shared" si="80"/>
        <v>9</v>
      </c>
      <c r="AG15" s="346" t="s">
        <v>78</v>
      </c>
      <c r="AH15" s="105">
        <f>AH11*JF27</f>
        <v>1801167.6941681006</v>
      </c>
      <c r="AI15" s="105">
        <f>AI11*JH27</f>
        <v>113098.61174829236</v>
      </c>
      <c r="AJ15" s="105">
        <f>AJ11*JJ27</f>
        <v>547397.97344627196</v>
      </c>
      <c r="AL15" s="464"/>
      <c r="AN15" s="338">
        <v>10</v>
      </c>
      <c r="AO15" s="96"/>
      <c r="AQ15" s="518" t="s">
        <v>49</v>
      </c>
      <c r="AR15" s="340"/>
      <c r="AS15" s="348">
        <v>7353821.8799999999</v>
      </c>
      <c r="AT15" s="349">
        <v>0.71710994198556099</v>
      </c>
      <c r="AU15" s="350"/>
      <c r="AV15" s="348">
        <v>7828448.5450000018</v>
      </c>
      <c r="AW15" s="349">
        <v>0.72540816833517452</v>
      </c>
      <c r="AX15" s="351">
        <f t="shared" si="96"/>
        <v>1.1571763078109143E-2</v>
      </c>
      <c r="AY15" s="350"/>
      <c r="AZ15" s="348">
        <v>8035314.9274999993</v>
      </c>
      <c r="BA15" s="349">
        <v>0.62282657759036675</v>
      </c>
      <c r="BB15" s="351">
        <f t="shared" si="97"/>
        <v>-0.14141223551457172</v>
      </c>
      <c r="BC15" s="350"/>
      <c r="BD15" s="348">
        <v>8562729.5753158554</v>
      </c>
      <c r="BE15" s="349">
        <v>0.58225665955417472</v>
      </c>
      <c r="BF15" s="351">
        <f t="shared" si="98"/>
        <v>-6.5138386022561279E-2</v>
      </c>
      <c r="BG15" s="350"/>
      <c r="BH15" s="348">
        <v>11045828.998199999</v>
      </c>
      <c r="BI15" s="349">
        <v>0.72687075473189988</v>
      </c>
      <c r="BJ15" s="351">
        <f t="shared" si="99"/>
        <v>0.24836829739045663</v>
      </c>
      <c r="BK15" s="350"/>
      <c r="BL15" s="348">
        <v>11568330.944249999</v>
      </c>
      <c r="BM15" s="349">
        <v>0.68771883938552769</v>
      </c>
      <c r="BN15" s="351">
        <f t="shared" si="100"/>
        <v>-5.3863654702703045E-2</v>
      </c>
      <c r="BO15" s="350"/>
      <c r="BP15" s="348">
        <v>12592679.530000001</v>
      </c>
      <c r="BQ15" s="349">
        <v>0.67892720661852923</v>
      </c>
      <c r="BR15" s="351">
        <f t="shared" si="101"/>
        <v>-1.2783760257104038E-2</v>
      </c>
      <c r="BS15" s="350"/>
      <c r="BT15" s="518">
        <v>14006160</v>
      </c>
      <c r="BU15" s="518">
        <v>0.71</v>
      </c>
      <c r="BV15" s="518">
        <f t="shared" si="102"/>
        <v>4.5767488883281304E-2</v>
      </c>
      <c r="BW15" s="15">
        <v>14529003.2212</v>
      </c>
      <c r="BX15" s="16">
        <v>0.75057613815354784</v>
      </c>
      <c r="BY15" s="16">
        <f t="shared" si="65"/>
        <v>5.71494903571097E-2</v>
      </c>
      <c r="BZ15" s="16">
        <v>16169362.853399999</v>
      </c>
      <c r="CA15" s="16">
        <v>0.79265580047847906</v>
      </c>
      <c r="CB15" s="16">
        <f t="shared" si="66"/>
        <v>5.6063149607245899E-2</v>
      </c>
      <c r="CC15" s="15">
        <f t="shared" si="103"/>
        <v>15891148.762049999</v>
      </c>
      <c r="CD15" s="16">
        <f t="shared" si="103"/>
        <v>0.76458980113025965</v>
      </c>
      <c r="CE15" s="352">
        <f t="shared" si="104"/>
        <v>-3.5407549318730358E-2</v>
      </c>
      <c r="CF15" s="353">
        <f t="shared" si="68"/>
        <v>1.1609374038918112</v>
      </c>
      <c r="CG15" s="352">
        <f t="shared" si="105"/>
        <v>4.3737368471468585E-2</v>
      </c>
      <c r="DA15" s="518"/>
      <c r="DK15" s="518"/>
      <c r="DQ15" s="537"/>
      <c r="DR15" s="537"/>
      <c r="DS15" s="537"/>
      <c r="DT15" s="537"/>
      <c r="DU15" s="537"/>
      <c r="DV15" s="537"/>
      <c r="DW15" s="537"/>
      <c r="DX15" s="537"/>
      <c r="DY15" s="537"/>
      <c r="DZ15" s="537"/>
      <c r="EN15" s="105"/>
      <c r="EO15" s="408"/>
      <c r="FD15" s="105"/>
      <c r="FE15" s="408"/>
      <c r="FG15" s="338">
        <f t="shared" si="84"/>
        <v>10</v>
      </c>
      <c r="FH15" s="360"/>
      <c r="FI15" s="361" t="s">
        <v>232</v>
      </c>
      <c r="FJ15" s="20">
        <v>31426.501999999997</v>
      </c>
      <c r="FK15" s="20">
        <v>84299.290000000008</v>
      </c>
      <c r="FL15" s="20">
        <v>302468.21000000002</v>
      </c>
      <c r="FM15" s="343">
        <f t="shared" si="28"/>
        <v>418194.00199999998</v>
      </c>
      <c r="FN15" s="20">
        <v>31693.168666666661</v>
      </c>
      <c r="FO15" s="20">
        <v>84736.09</v>
      </c>
      <c r="FP15" s="20">
        <v>302468.21000000002</v>
      </c>
      <c r="FQ15" s="20">
        <v>418897.46866666671</v>
      </c>
      <c r="FR15" s="20">
        <v>418897.46866666671</v>
      </c>
      <c r="FS15" s="103"/>
      <c r="FT15" s="408"/>
      <c r="GI15" s="481"/>
      <c r="GJ15" s="279"/>
      <c r="GK15" s="279"/>
      <c r="GL15" s="279"/>
      <c r="GM15" s="279"/>
      <c r="GN15" s="279"/>
      <c r="GO15" s="279"/>
      <c r="GP15" s="279"/>
      <c r="GQ15" s="279"/>
      <c r="GR15" s="279"/>
      <c r="HW15" s="338">
        <v>10</v>
      </c>
      <c r="HX15" s="322">
        <v>10</v>
      </c>
      <c r="HY15" s="322">
        <v>10</v>
      </c>
      <c r="HZ15" s="322">
        <v>12</v>
      </c>
      <c r="IA15" s="347">
        <v>66094200.81818182</v>
      </c>
      <c r="IB15" s="347">
        <v>78681161</v>
      </c>
      <c r="IC15" s="342">
        <f t="shared" si="5"/>
        <v>1.2</v>
      </c>
      <c r="ID15" s="342">
        <f t="shared" si="6"/>
        <v>1.1904397061467402</v>
      </c>
      <c r="IE15" s="344">
        <v>0.58333333333333337</v>
      </c>
      <c r="IF15" s="344">
        <v>0.41666666666666669</v>
      </c>
      <c r="IG15" s="344">
        <v>0</v>
      </c>
      <c r="IK15" s="364">
        <v>10</v>
      </c>
      <c r="IL15" s="365">
        <v>10</v>
      </c>
      <c r="IM15" s="341">
        <f t="shared" si="7"/>
        <v>1.1904397061467402</v>
      </c>
      <c r="IN15" s="20">
        <v>185.75</v>
      </c>
      <c r="IO15" s="343">
        <f t="shared" si="29"/>
        <v>221.124175416757</v>
      </c>
      <c r="IP15" s="20">
        <v>7200809.3636363633</v>
      </c>
      <c r="IQ15" s="343">
        <v>8577715</v>
      </c>
      <c r="IR15" s="20">
        <v>2984607.290836364</v>
      </c>
      <c r="IS15" s="343">
        <v>3513562</v>
      </c>
      <c r="IT15" s="20">
        <v>225000</v>
      </c>
      <c r="IU15" s="20">
        <v>270000</v>
      </c>
      <c r="IV15" s="20">
        <f t="shared" si="30"/>
        <v>3209793.040836364</v>
      </c>
      <c r="IW15" s="20">
        <f t="shared" si="30"/>
        <v>3783783.1241754168</v>
      </c>
      <c r="IX15" s="314"/>
      <c r="IY15" s="315"/>
      <c r="IZ15" s="314"/>
      <c r="JA15" s="366">
        <v>10</v>
      </c>
      <c r="JB15" s="365">
        <v>10</v>
      </c>
      <c r="JC15" s="367">
        <f t="shared" si="8"/>
        <v>1.2</v>
      </c>
      <c r="JD15" s="368">
        <f t="shared" si="8"/>
        <v>1.1904397061467402</v>
      </c>
      <c r="JE15" s="20">
        <v>1073020.2636695188</v>
      </c>
      <c r="JF15" s="343">
        <f t="shared" si="70"/>
        <v>1277365.9273722395</v>
      </c>
      <c r="JG15" s="20">
        <v>89875.028000000006</v>
      </c>
      <c r="JH15" s="343">
        <f t="shared" si="31"/>
        <v>106990.80192225006</v>
      </c>
      <c r="JI15" s="20">
        <v>572414.47014866315</v>
      </c>
      <c r="JJ15" s="343">
        <f t="shared" si="32"/>
        <v>686897.36417839571</v>
      </c>
      <c r="JK15" s="20">
        <v>662231.94988330337</v>
      </c>
      <c r="JL15" s="343">
        <v>791101.506315395</v>
      </c>
      <c r="JM15" s="20">
        <v>116059.51709090911</v>
      </c>
      <c r="JN15" s="343">
        <f t="shared" si="33"/>
        <v>138161.85742123442</v>
      </c>
      <c r="JO15" s="20">
        <v>46136.540909090909</v>
      </c>
      <c r="JP15" s="343">
        <f t="shared" si="34"/>
        <v>54922.770202445237</v>
      </c>
      <c r="JQ15" s="20">
        <v>82525.475909090906</v>
      </c>
      <c r="JR15" s="343">
        <f t="shared" si="35"/>
        <v>98241.603290838073</v>
      </c>
      <c r="JS15" s="20">
        <v>322787.53398636356</v>
      </c>
      <c r="JT15" s="343">
        <f t="shared" si="36"/>
        <v>384259.09710655757</v>
      </c>
      <c r="JU15" s="20">
        <f t="shared" si="37"/>
        <v>2965050.7795969401</v>
      </c>
      <c r="JV15" s="20">
        <f t="shared" si="37"/>
        <v>3537940.9278093553</v>
      </c>
      <c r="JW15" s="369">
        <f t="shared" si="9"/>
        <v>4.4965540452680353</v>
      </c>
      <c r="KA15" s="338">
        <v>10</v>
      </c>
      <c r="KB15" s="322">
        <v>10</v>
      </c>
      <c r="KC15" s="518">
        <f t="shared" si="10"/>
        <v>12</v>
      </c>
      <c r="KD15" s="518">
        <f t="shared" si="11"/>
        <v>12</v>
      </c>
      <c r="KE15" s="370">
        <f t="shared" si="12"/>
        <v>78681161</v>
      </c>
      <c r="KF15" s="370">
        <f t="shared" si="13"/>
        <v>81878444.153541267</v>
      </c>
      <c r="KG15" s="371">
        <f t="shared" si="38"/>
        <v>1</v>
      </c>
      <c r="KH15" s="371">
        <f t="shared" si="39"/>
        <v>1.0406359427454466</v>
      </c>
      <c r="KI15" s="371">
        <f t="shared" si="40"/>
        <v>0.96974336788635318</v>
      </c>
      <c r="KJ15" s="322" t="s">
        <v>256</v>
      </c>
      <c r="KK15" s="322"/>
      <c r="KL15" s="323"/>
      <c r="KM15" s="322"/>
      <c r="KN15" s="338">
        <v>10</v>
      </c>
      <c r="KO15" s="322">
        <v>10</v>
      </c>
      <c r="KP15" s="437" t="str">
        <f t="shared" si="14"/>
        <v>Q3</v>
      </c>
      <c r="KQ15" s="373">
        <f t="shared" si="15"/>
        <v>0.96974336788635318</v>
      </c>
      <c r="KR15" s="358">
        <f t="shared" si="41"/>
        <v>221.124175416757</v>
      </c>
      <c r="KS15" s="358">
        <f t="shared" si="42"/>
        <v>214.43370258973869</v>
      </c>
      <c r="KT15" s="358">
        <f t="shared" si="16"/>
        <v>8577715</v>
      </c>
      <c r="KU15" s="358">
        <f t="shared" si="43"/>
        <v>8933965.3182613403</v>
      </c>
      <c r="KV15" s="358">
        <f t="shared" si="17"/>
        <v>3513562</v>
      </c>
      <c r="KW15" s="358">
        <f t="shared" si="18"/>
        <v>4904280.0067709424</v>
      </c>
      <c r="KX15" s="358">
        <f t="shared" si="44"/>
        <v>270000</v>
      </c>
      <c r="KY15" s="358">
        <f t="shared" si="45"/>
        <v>177249.14455358198</v>
      </c>
      <c r="KZ15" s="358">
        <f t="shared" si="46"/>
        <v>3783783.1241754168</v>
      </c>
      <c r="LA15" s="358">
        <f t="shared" si="46"/>
        <v>5081743.5850271145</v>
      </c>
      <c r="LB15" s="326"/>
      <c r="LC15" s="323"/>
      <c r="LD15" s="322"/>
      <c r="LE15" s="374">
        <f t="shared" si="71"/>
        <v>10</v>
      </c>
      <c r="LF15" s="375">
        <v>9</v>
      </c>
      <c r="LG15" s="376">
        <f t="shared" si="72"/>
        <v>1</v>
      </c>
      <c r="LH15" s="376">
        <f t="shared" si="72"/>
        <v>1.0406359427454466</v>
      </c>
      <c r="LI15" s="377">
        <v>113.92083696213525</v>
      </c>
      <c r="LJ15" s="290">
        <f t="shared" si="73"/>
        <v>505347.49835594988</v>
      </c>
      <c r="LK15" s="377">
        <v>113.92083696213525</v>
      </c>
      <c r="LL15" s="290">
        <f t="shared" si="47"/>
        <v>54990.025449093751</v>
      </c>
      <c r="LM15" s="377">
        <v>113.92083696213525</v>
      </c>
      <c r="LN15" s="290">
        <f t="shared" si="48"/>
        <v>398481.51935421076</v>
      </c>
      <c r="LO15" s="377">
        <v>118.41952153062</v>
      </c>
      <c r="LP15" s="290">
        <f t="shared" si="74"/>
        <v>533357.53493713646</v>
      </c>
      <c r="LQ15" s="377">
        <v>118.887537452888</v>
      </c>
      <c r="LR15" s="290">
        <f t="shared" si="49"/>
        <v>73881.304880392476</v>
      </c>
      <c r="LS15" s="377">
        <v>168.49721907230401</v>
      </c>
      <c r="LT15" s="290">
        <f t="shared" si="50"/>
        <v>59902.673696331505</v>
      </c>
      <c r="LU15" s="377">
        <v>107.679074448752</v>
      </c>
      <c r="LV15" s="290">
        <f t="shared" si="51"/>
        <v>100064.58928771604</v>
      </c>
      <c r="LW15" s="377">
        <v>115.99271402550001</v>
      </c>
      <c r="LX15" s="378">
        <f t="shared" si="52"/>
        <v>279155.7992474885</v>
      </c>
      <c r="LY15" s="379">
        <f t="shared" si="53"/>
        <v>2124168.7560846745</v>
      </c>
      <c r="LZ15" s="379">
        <f t="shared" si="75"/>
        <v>2005180.9452083192</v>
      </c>
      <c r="MA15" s="103"/>
      <c r="MB15" s="335"/>
      <c r="MD15" s="338">
        <v>10</v>
      </c>
      <c r="ME15" s="380">
        <v>10</v>
      </c>
      <c r="MF15" s="20">
        <f t="shared" si="19"/>
        <v>3209793.040836364</v>
      </c>
      <c r="MG15" s="20">
        <f t="shared" si="19"/>
        <v>3783783.1241754168</v>
      </c>
      <c r="MH15" s="343">
        <f t="shared" si="20"/>
        <v>5081743.5850271145</v>
      </c>
      <c r="MI15" s="20">
        <f t="shared" si="21"/>
        <v>2965050.7795969401</v>
      </c>
      <c r="MJ15" s="20">
        <f t="shared" si="21"/>
        <v>3537940.9278093553</v>
      </c>
      <c r="MK15" s="343">
        <f t="shared" si="54"/>
        <v>3430894.7507168134</v>
      </c>
      <c r="ML15" s="20">
        <f t="shared" si="55"/>
        <v>244742.26123942388</v>
      </c>
      <c r="MM15" s="20">
        <f t="shared" si="55"/>
        <v>245842.19636606146</v>
      </c>
      <c r="MN15" s="20">
        <f t="shared" si="55"/>
        <v>1650848.8343103011</v>
      </c>
      <c r="MX15" s="283">
        <f t="shared" si="85"/>
        <v>9</v>
      </c>
      <c r="MY15" s="388" t="s">
        <v>58</v>
      </c>
      <c r="MZ15" s="17">
        <f t="shared" si="115"/>
        <v>2035083.754130634</v>
      </c>
      <c r="NA15" s="381">
        <f t="shared" si="116"/>
        <v>9.2573719777447105E-2</v>
      </c>
      <c r="NB15" s="97"/>
      <c r="NC15" s="18">
        <f t="shared" si="117"/>
        <v>2035083.754130634</v>
      </c>
      <c r="ND15" s="381">
        <f t="shared" si="118"/>
        <v>9.2573719777447105E-2</v>
      </c>
      <c r="NH15" s="283">
        <f t="shared" si="86"/>
        <v>9</v>
      </c>
      <c r="NI15" s="388" t="str">
        <f t="shared" si="58"/>
        <v>Contract Labour</v>
      </c>
      <c r="NJ15" s="17">
        <v>2413478.5233385852</v>
      </c>
      <c r="NK15" s="17">
        <f t="shared" si="119"/>
        <v>2035083.754130634</v>
      </c>
      <c r="NL15" s="17">
        <f t="shared" si="77"/>
        <v>-378394.76920795115</v>
      </c>
      <c r="NM15" s="395">
        <f t="shared" si="78"/>
        <v>-0.15678398027943272</v>
      </c>
    </row>
    <row r="16" spans="2:387" x14ac:dyDescent="0.3">
      <c r="B16" s="265">
        <f t="shared" si="79"/>
        <v>11</v>
      </c>
      <c r="C16" s="384"/>
      <c r="D16" s="97" t="s">
        <v>49</v>
      </c>
      <c r="E16" s="286"/>
      <c r="F16" s="18">
        <f>DK9</f>
        <v>15891148.762049999</v>
      </c>
      <c r="G16" s="313">
        <f t="shared" si="108"/>
        <v>0.76458980113025965</v>
      </c>
      <c r="H16" s="18">
        <f>DM9</f>
        <v>17229598.204603884</v>
      </c>
      <c r="I16" s="309">
        <f t="shared" si="109"/>
        <v>0.82699638874046988</v>
      </c>
      <c r="J16" s="290">
        <f t="shared" si="59"/>
        <v>1338449.4425538853</v>
      </c>
      <c r="K16" s="18">
        <f>JJ26</f>
        <v>17704130.732731506</v>
      </c>
      <c r="L16" s="309">
        <f t="shared" si="110"/>
        <v>0.83806722629177899</v>
      </c>
      <c r="M16" s="290">
        <f t="shared" si="60"/>
        <v>474532.52812762186</v>
      </c>
      <c r="N16" s="18">
        <f>LN27</f>
        <v>15711197.861928774</v>
      </c>
      <c r="O16" s="309">
        <f t="shared" si="111"/>
        <v>0.7146850960242388</v>
      </c>
      <c r="P16" s="290">
        <f t="shared" si="61"/>
        <v>-1992932.8708027322</v>
      </c>
      <c r="Q16" s="18">
        <f t="shared" si="62"/>
        <v>-179950.90012122504</v>
      </c>
      <c r="R16" s="310">
        <f t="shared" si="63"/>
        <v>-6.5269906860186855E-2</v>
      </c>
      <c r="V16" s="249">
        <f t="shared" si="64"/>
        <v>8</v>
      </c>
      <c r="W16" s="463" t="s">
        <v>134</v>
      </c>
      <c r="X16" s="20">
        <f>X14-X10</f>
        <v>1139133.5835034992</v>
      </c>
      <c r="Y16" s="20">
        <f t="shared" ref="Y16:AA16" si="120">Y14-Y10</f>
        <v>1002184.7413331178</v>
      </c>
      <c r="Z16" s="20">
        <f t="shared" si="120"/>
        <v>-2317494.9093960105</v>
      </c>
      <c r="AA16" s="20">
        <f t="shared" si="120"/>
        <v>-176176.58455939358</v>
      </c>
      <c r="AB16" s="20"/>
      <c r="AC16" s="349"/>
      <c r="AF16" s="385">
        <f t="shared" si="80"/>
        <v>10</v>
      </c>
      <c r="AG16" s="388" t="s">
        <v>186</v>
      </c>
      <c r="AH16" s="389">
        <f>AH15*3600/$K$24</f>
        <v>3.0694523728800589</v>
      </c>
      <c r="AI16" s="389">
        <f>AI15*3600/$K$24</f>
        <v>0.19273652493560511</v>
      </c>
      <c r="AJ16" s="389">
        <f>AJ15*3600/$K$24</f>
        <v>0.93284596095336303</v>
      </c>
      <c r="AL16" s="464"/>
      <c r="AN16" s="283">
        <f>AN15+1</f>
        <v>11</v>
      </c>
      <c r="AO16" s="390"/>
      <c r="AP16" s="390"/>
      <c r="AQ16" s="390" t="s">
        <v>50</v>
      </c>
      <c r="AR16" s="286"/>
      <c r="AS16" s="392">
        <v>3443976.8344000001</v>
      </c>
      <c r="AT16" s="393">
        <v>0.33584033829171284</v>
      </c>
      <c r="AU16" s="394"/>
      <c r="AV16" s="392">
        <v>5716425.9886499979</v>
      </c>
      <c r="AW16" s="393">
        <v>0.52970164931322072</v>
      </c>
      <c r="AX16" s="383">
        <f t="shared" si="96"/>
        <v>0.57724248375762066</v>
      </c>
      <c r="AY16" s="394"/>
      <c r="AZ16" s="392">
        <v>7023487.4984412417</v>
      </c>
      <c r="BA16" s="393">
        <v>0.54439866027303074</v>
      </c>
      <c r="BB16" s="383">
        <f t="shared" si="97"/>
        <v>2.7745828201338085E-2</v>
      </c>
      <c r="BC16" s="394"/>
      <c r="BD16" s="392">
        <v>8390599.8471698686</v>
      </c>
      <c r="BE16" s="393">
        <v>0.57055201798647071</v>
      </c>
      <c r="BF16" s="383">
        <f t="shared" si="98"/>
        <v>4.8040819388356581E-2</v>
      </c>
      <c r="BG16" s="394"/>
      <c r="BH16" s="392">
        <v>9500186.8885000013</v>
      </c>
      <c r="BI16" s="393">
        <v>0.62515977885076657</v>
      </c>
      <c r="BJ16" s="383">
        <f t="shared" si="99"/>
        <v>9.5710398250822948E-2</v>
      </c>
      <c r="BK16" s="394"/>
      <c r="BL16" s="392">
        <v>10661854.069499999</v>
      </c>
      <c r="BM16" s="393">
        <v>0.63383023373989222</v>
      </c>
      <c r="BN16" s="383">
        <f t="shared" si="100"/>
        <v>1.386918221940725E-2</v>
      </c>
      <c r="BO16" s="394"/>
      <c r="BP16" s="392">
        <v>13069899.7289</v>
      </c>
      <c r="BQ16" s="393">
        <v>0.70465626418798799</v>
      </c>
      <c r="BR16" s="383">
        <f t="shared" si="101"/>
        <v>0.11174290319063718</v>
      </c>
      <c r="BS16" s="394"/>
      <c r="BT16" s="97">
        <v>15592449</v>
      </c>
      <c r="BU16" s="97">
        <v>0.79</v>
      </c>
      <c r="BV16" s="97">
        <f t="shared" si="102"/>
        <v>0.12111399578680837</v>
      </c>
      <c r="BW16" s="18">
        <v>21298745.488500003</v>
      </c>
      <c r="BX16" s="19">
        <v>1.100304672859262</v>
      </c>
      <c r="BY16" s="19">
        <f t="shared" si="65"/>
        <v>0.39279072513830626</v>
      </c>
      <c r="BZ16" s="19">
        <v>23700279.210100003</v>
      </c>
      <c r="CA16" s="19">
        <v>1.1618369851162706</v>
      </c>
      <c r="CB16" s="19">
        <f t="shared" si="66"/>
        <v>5.5922976403535829E-2</v>
      </c>
      <c r="CC16" s="18">
        <f t="shared" si="103"/>
        <v>24697713.659500003</v>
      </c>
      <c r="CD16" s="19">
        <f t="shared" si="103"/>
        <v>1.1883105657147701</v>
      </c>
      <c r="CE16" s="395">
        <f t="shared" si="104"/>
        <v>2.2785968201769924E-2</v>
      </c>
      <c r="CF16" s="396">
        <f t="shared" si="68"/>
        <v>6.1712775221970295</v>
      </c>
      <c r="CG16" s="395">
        <f t="shared" si="105"/>
        <v>0.11566328314482499</v>
      </c>
      <c r="DA16" s="518"/>
      <c r="DK16" s="518"/>
      <c r="DQ16" s="537"/>
      <c r="DR16" s="537"/>
      <c r="DS16" s="537"/>
      <c r="DT16" s="537"/>
      <c r="DU16" s="537"/>
      <c r="DV16" s="537"/>
      <c r="DW16" s="537"/>
      <c r="DX16" s="537"/>
      <c r="DY16" s="537"/>
      <c r="DZ16" s="537"/>
      <c r="EN16" s="482"/>
      <c r="EO16" s="408"/>
      <c r="FD16" s="482"/>
      <c r="FE16" s="408"/>
      <c r="FG16" s="283">
        <f t="shared" si="84"/>
        <v>11</v>
      </c>
      <c r="FH16" s="406"/>
      <c r="FI16" s="407" t="s">
        <v>233</v>
      </c>
      <c r="FJ16" s="17">
        <v>83333.559999999983</v>
      </c>
      <c r="FK16" s="17">
        <v>215960.19999999998</v>
      </c>
      <c r="FL16" s="17">
        <v>506222.52</v>
      </c>
      <c r="FM16" s="290">
        <f t="shared" si="28"/>
        <v>805516.27999999991</v>
      </c>
      <c r="FN16" s="17">
        <v>87054.353030303013</v>
      </c>
      <c r="FO16" s="17">
        <v>217398.19999999998</v>
      </c>
      <c r="FP16" s="17">
        <v>506222.52000000014</v>
      </c>
      <c r="FQ16" s="17">
        <v>810675.07303030312</v>
      </c>
      <c r="FR16" s="17">
        <v>810675.07303030312</v>
      </c>
      <c r="FS16" s="103"/>
      <c r="FT16" s="408"/>
      <c r="GK16" s="344"/>
      <c r="GL16" s="344"/>
      <c r="GM16" s="344"/>
      <c r="GN16" s="344"/>
      <c r="GO16" s="344"/>
      <c r="GP16" s="344"/>
      <c r="GQ16" s="344"/>
      <c r="GR16" s="344"/>
      <c r="HW16" s="283">
        <v>11</v>
      </c>
      <c r="HX16" s="306">
        <v>11</v>
      </c>
      <c r="HY16" s="306">
        <v>10</v>
      </c>
      <c r="HZ16" s="306">
        <v>10</v>
      </c>
      <c r="IA16" s="307">
        <v>80622257</v>
      </c>
      <c r="IB16" s="307">
        <v>83015823</v>
      </c>
      <c r="IC16" s="309">
        <f t="shared" si="5"/>
        <v>1</v>
      </c>
      <c r="ID16" s="309">
        <f t="shared" si="6"/>
        <v>1.0296886503685949</v>
      </c>
      <c r="IE16" s="310">
        <v>0</v>
      </c>
      <c r="IF16" s="310">
        <v>1</v>
      </c>
      <c r="IG16" s="310">
        <v>0</v>
      </c>
      <c r="IK16" s="410">
        <v>11</v>
      </c>
      <c r="IL16" s="317">
        <v>11</v>
      </c>
      <c r="IM16" s="313">
        <f t="shared" si="7"/>
        <v>1.0296886503685949</v>
      </c>
      <c r="IN16" s="17">
        <v>0</v>
      </c>
      <c r="IO16" s="290">
        <f t="shared" si="29"/>
        <v>0</v>
      </c>
      <c r="IP16" s="17">
        <v>8901393</v>
      </c>
      <c r="IQ16" s="290">
        <v>9057976</v>
      </c>
      <c r="IR16" s="17">
        <v>3757373.3893999998</v>
      </c>
      <c r="IS16" s="290">
        <v>3781161</v>
      </c>
      <c r="IT16" s="17">
        <v>225000</v>
      </c>
      <c r="IU16" s="17">
        <v>225000</v>
      </c>
      <c r="IV16" s="17">
        <f t="shared" si="30"/>
        <v>3982373.3893999998</v>
      </c>
      <c r="IW16" s="17">
        <f t="shared" si="30"/>
        <v>4006161</v>
      </c>
      <c r="IX16" s="314"/>
      <c r="IY16" s="315"/>
      <c r="IZ16" s="314"/>
      <c r="JA16" s="316">
        <v>11</v>
      </c>
      <c r="JB16" s="317">
        <v>11</v>
      </c>
      <c r="JC16" s="318">
        <f t="shared" si="8"/>
        <v>1</v>
      </c>
      <c r="JD16" s="319">
        <f t="shared" si="8"/>
        <v>1.0296886503685949</v>
      </c>
      <c r="JE16" s="17">
        <v>1255752.9763298852</v>
      </c>
      <c r="JF16" s="290">
        <f t="shared" si="70"/>
        <v>1293034.5873934657</v>
      </c>
      <c r="JG16" s="17">
        <v>87580.62999999999</v>
      </c>
      <c r="JH16" s="290">
        <f t="shared" si="31"/>
        <v>90180.78070313127</v>
      </c>
      <c r="JI16" s="17">
        <v>639216.06367011496</v>
      </c>
      <c r="JJ16" s="290">
        <f t="shared" si="32"/>
        <v>639216.06367011496</v>
      </c>
      <c r="JK16" s="17">
        <v>1076517.2886915016</v>
      </c>
      <c r="JL16" s="290">
        <v>1076517.2886915016</v>
      </c>
      <c r="JM16" s="17">
        <v>55586.068000000007</v>
      </c>
      <c r="JN16" s="290">
        <f t="shared" si="33"/>
        <v>57236.343338216946</v>
      </c>
      <c r="JO16" s="17">
        <v>41360.133999999998</v>
      </c>
      <c r="JP16" s="290">
        <f t="shared" si="34"/>
        <v>42588.06055752423</v>
      </c>
      <c r="JQ16" s="17">
        <v>92360.92</v>
      </c>
      <c r="JR16" s="290">
        <f t="shared" si="35"/>
        <v>95102.991061601759</v>
      </c>
      <c r="JS16" s="17">
        <v>306414.38704999996</v>
      </c>
      <c r="JT16" s="290">
        <f t="shared" si="36"/>
        <v>315511.4166550347</v>
      </c>
      <c r="JU16" s="17">
        <f t="shared" si="37"/>
        <v>3554788.4677415015</v>
      </c>
      <c r="JV16" s="17">
        <f t="shared" si="37"/>
        <v>3609387.5320705916</v>
      </c>
      <c r="JW16" s="320">
        <f t="shared" si="9"/>
        <v>4.347830813013311</v>
      </c>
      <c r="KA16" s="283">
        <v>11</v>
      </c>
      <c r="KB16" s="306">
        <v>11</v>
      </c>
      <c r="KC16" s="97">
        <f t="shared" si="10"/>
        <v>10</v>
      </c>
      <c r="KD16" s="97">
        <f t="shared" si="11"/>
        <v>10</v>
      </c>
      <c r="KE16" s="289">
        <f t="shared" si="12"/>
        <v>83015823</v>
      </c>
      <c r="KF16" s="289">
        <f t="shared" si="13"/>
        <v>86389249.230394125</v>
      </c>
      <c r="KG16" s="321">
        <f t="shared" si="38"/>
        <v>1</v>
      </c>
      <c r="KH16" s="321">
        <f t="shared" si="39"/>
        <v>1.0406359427454466</v>
      </c>
      <c r="KI16" s="321">
        <f t="shared" si="40"/>
        <v>0.97206635935073227</v>
      </c>
      <c r="KJ16" s="306" t="s">
        <v>256</v>
      </c>
      <c r="KK16" s="322"/>
      <c r="KL16" s="323"/>
      <c r="KM16" s="322"/>
      <c r="KN16" s="283">
        <v>11</v>
      </c>
      <c r="KO16" s="306">
        <v>11</v>
      </c>
      <c r="KP16" s="324" t="str">
        <f t="shared" si="14"/>
        <v>Q3</v>
      </c>
      <c r="KQ16" s="325">
        <f t="shared" si="15"/>
        <v>0.97206635935073227</v>
      </c>
      <c r="KR16" s="17">
        <f t="shared" si="41"/>
        <v>0</v>
      </c>
      <c r="KS16" s="17">
        <f t="shared" si="42"/>
        <v>0</v>
      </c>
      <c r="KT16" s="17">
        <f t="shared" si="16"/>
        <v>9057976</v>
      </c>
      <c r="KU16" s="17">
        <f t="shared" si="43"/>
        <v>9426150.7344677094</v>
      </c>
      <c r="KV16" s="17">
        <f t="shared" si="17"/>
        <v>3781161</v>
      </c>
      <c r="KW16" s="17">
        <f t="shared" si="18"/>
        <v>5174464.0751365554</v>
      </c>
      <c r="KX16" s="17">
        <f t="shared" si="44"/>
        <v>225000</v>
      </c>
      <c r="KY16" s="17">
        <f t="shared" si="45"/>
        <v>187014.063139734</v>
      </c>
      <c r="KZ16" s="17">
        <f t="shared" si="46"/>
        <v>4006161</v>
      </c>
      <c r="LA16" s="17">
        <f t="shared" si="46"/>
        <v>5361478.1382762892</v>
      </c>
      <c r="LB16" s="326"/>
      <c r="LC16" s="323"/>
      <c r="LD16" s="322"/>
      <c r="LE16" s="364">
        <f t="shared" si="71"/>
        <v>11</v>
      </c>
      <c r="LF16" s="365">
        <v>10</v>
      </c>
      <c r="LG16" s="411">
        <f t="shared" si="72"/>
        <v>1</v>
      </c>
      <c r="LH16" s="411">
        <f t="shared" si="72"/>
        <v>1.0406359427454466</v>
      </c>
      <c r="LI16" s="412">
        <v>106.45762205358784</v>
      </c>
      <c r="LJ16" s="343">
        <f t="shared" si="73"/>
        <v>1172434.5225749074</v>
      </c>
      <c r="LK16" s="412">
        <v>106.45762205358784</v>
      </c>
      <c r="LL16" s="343">
        <f t="shared" si="47"/>
        <v>98201.859845808402</v>
      </c>
      <c r="LM16" s="412">
        <v>106.45762205358784</v>
      </c>
      <c r="LN16" s="343">
        <f t="shared" si="48"/>
        <v>605851.6544001993</v>
      </c>
      <c r="LO16" s="412">
        <v>118.614283549666</v>
      </c>
      <c r="LP16" s="343">
        <f t="shared" si="74"/>
        <v>827510.55484717013</v>
      </c>
      <c r="LQ16" s="412">
        <v>119.48337591187899</v>
      </c>
      <c r="LR16" s="343">
        <f t="shared" si="49"/>
        <v>150316.38583192573</v>
      </c>
      <c r="LS16" s="412">
        <v>157.07111615098</v>
      </c>
      <c r="LT16" s="343">
        <f t="shared" si="50"/>
        <v>51966.932345001762</v>
      </c>
      <c r="LU16" s="412">
        <v>112.15574935818501</v>
      </c>
      <c r="LV16" s="343">
        <f t="shared" si="51"/>
        <v>107476.7272044009</v>
      </c>
      <c r="LW16" s="412">
        <v>116.939890710382</v>
      </c>
      <c r="LX16" s="343">
        <f t="shared" si="52"/>
        <v>417136.11366739956</v>
      </c>
      <c r="LY16" s="20">
        <f t="shared" si="53"/>
        <v>3537940.9278093553</v>
      </c>
      <c r="LZ16" s="20">
        <f t="shared" si="75"/>
        <v>3430894.7507168134</v>
      </c>
      <c r="MA16" s="103"/>
      <c r="MB16" s="335"/>
      <c r="MD16" s="283">
        <v>11</v>
      </c>
      <c r="ME16" s="336">
        <v>11</v>
      </c>
      <c r="MF16" s="17">
        <f t="shared" si="19"/>
        <v>3982373.3893999998</v>
      </c>
      <c r="MG16" s="17">
        <f t="shared" si="19"/>
        <v>4006161</v>
      </c>
      <c r="MH16" s="290">
        <f t="shared" si="20"/>
        <v>5361478.1382762892</v>
      </c>
      <c r="MI16" s="17">
        <f t="shared" si="21"/>
        <v>3554788.4677415015</v>
      </c>
      <c r="MJ16" s="17">
        <f t="shared" si="21"/>
        <v>3609387.5320705916</v>
      </c>
      <c r="MK16" s="290">
        <f t="shared" si="54"/>
        <v>3508564.1977857845</v>
      </c>
      <c r="ML16" s="17">
        <f t="shared" si="55"/>
        <v>427584.92165849824</v>
      </c>
      <c r="MM16" s="17">
        <f t="shared" si="55"/>
        <v>396773.46792940842</v>
      </c>
      <c r="MN16" s="17">
        <f t="shared" si="55"/>
        <v>1852913.9404905047</v>
      </c>
      <c r="MX16" s="338">
        <f t="shared" si="85"/>
        <v>10</v>
      </c>
      <c r="MY16" s="346" t="s">
        <v>49</v>
      </c>
      <c r="MZ16" s="20">
        <f t="shared" si="115"/>
        <v>15711197.861928774</v>
      </c>
      <c r="NA16" s="414">
        <f t="shared" si="116"/>
        <v>0.7146850960242388</v>
      </c>
      <c r="NC16" s="15">
        <f t="shared" si="117"/>
        <v>15711197.861928774</v>
      </c>
      <c r="ND16" s="414">
        <f t="shared" si="118"/>
        <v>0.7146850960242388</v>
      </c>
      <c r="NH16" s="338">
        <f t="shared" si="86"/>
        <v>10</v>
      </c>
      <c r="NI16" s="346" t="str">
        <f t="shared" si="58"/>
        <v>Overhead Labour</v>
      </c>
      <c r="NJ16" s="20">
        <v>23349083.540678918</v>
      </c>
      <c r="NK16" s="20">
        <f t="shared" si="119"/>
        <v>15711197.861928774</v>
      </c>
      <c r="NL16" s="20">
        <f t="shared" si="77"/>
        <v>-7637885.6787501443</v>
      </c>
      <c r="NM16" s="351">
        <f t="shared" si="78"/>
        <v>-0.32711715067717206</v>
      </c>
    </row>
    <row r="17" spans="2:377" x14ac:dyDescent="0.3">
      <c r="B17" s="226">
        <f t="shared" si="79"/>
        <v>12</v>
      </c>
      <c r="C17" s="339"/>
      <c r="D17" s="518" t="s">
        <v>50</v>
      </c>
      <c r="E17" s="340"/>
      <c r="F17" s="15">
        <f>DV12</f>
        <v>24697713.659500003</v>
      </c>
      <c r="G17" s="341">
        <f t="shared" si="108"/>
        <v>1.1883105657147701</v>
      </c>
      <c r="H17" s="15">
        <f>DZ12</f>
        <v>20963340.954979219</v>
      </c>
      <c r="I17" s="342">
        <f t="shared" si="109"/>
        <v>1.0062107693881408</v>
      </c>
      <c r="J17" s="343">
        <f t="shared" si="59"/>
        <v>-3734372.7045207843</v>
      </c>
      <c r="K17" s="15">
        <f>JL26</f>
        <v>21765718.436968524</v>
      </c>
      <c r="L17" s="342">
        <f t="shared" si="110"/>
        <v>1.0303321611263139</v>
      </c>
      <c r="M17" s="343">
        <f t="shared" si="60"/>
        <v>802377.48198930547</v>
      </c>
      <c r="N17" s="15">
        <f>LP27</f>
        <v>22755368.059679482</v>
      </c>
      <c r="O17" s="342">
        <f t="shared" si="111"/>
        <v>1.0351166441743493</v>
      </c>
      <c r="P17" s="343">
        <f t="shared" si="61"/>
        <v>989649.62271095812</v>
      </c>
      <c r="Q17" s="15">
        <f t="shared" si="62"/>
        <v>-1942345.5998205207</v>
      </c>
      <c r="R17" s="344">
        <f t="shared" si="63"/>
        <v>-0.12891741095331799</v>
      </c>
      <c r="V17" s="275"/>
      <c r="W17" s="276" t="s">
        <v>28</v>
      </c>
      <c r="X17" s="415"/>
      <c r="Y17" s="416"/>
      <c r="Z17" s="416"/>
      <c r="AA17" s="416"/>
      <c r="AB17" s="279"/>
      <c r="AC17" s="351"/>
      <c r="AF17" s="417">
        <f t="shared" si="80"/>
        <v>11</v>
      </c>
      <c r="AG17" s="418" t="s">
        <v>195</v>
      </c>
      <c r="AH17" s="477">
        <f>JF26/AH15</f>
        <v>20.537971247053672</v>
      </c>
      <c r="AI17" s="477">
        <f>JH26/AI15</f>
        <v>19.390724851022238</v>
      </c>
      <c r="AJ17" s="477">
        <f>JJ26/AJ15</f>
        <v>32.342338831236461</v>
      </c>
      <c r="AL17" s="464"/>
      <c r="AN17" s="338">
        <f t="shared" ref="AN17:AN20" si="121">AN16+1</f>
        <v>12</v>
      </c>
      <c r="AO17" s="96"/>
      <c r="AQ17" s="518" t="s">
        <v>234</v>
      </c>
      <c r="AR17" s="340"/>
      <c r="AS17" s="348">
        <v>1216501.406</v>
      </c>
      <c r="AT17" s="349">
        <v>0.11862746567938538</v>
      </c>
      <c r="AU17" s="350"/>
      <c r="AV17" s="348">
        <v>2361150.2250000001</v>
      </c>
      <c r="AW17" s="349">
        <v>0.2187914565748014</v>
      </c>
      <c r="AX17" s="351">
        <f t="shared" si="96"/>
        <v>0.84435750457764458</v>
      </c>
      <c r="AY17" s="350"/>
      <c r="AZ17" s="348">
        <v>2483160.2930935998</v>
      </c>
      <c r="BA17" s="349">
        <v>0.19247263373122833</v>
      </c>
      <c r="BB17" s="351">
        <f t="shared" si="97"/>
        <v>-0.12029182151623485</v>
      </c>
      <c r="BC17" s="350"/>
      <c r="BD17" s="348">
        <v>3556357.1057280144</v>
      </c>
      <c r="BE17" s="349">
        <v>0.24182856533648778</v>
      </c>
      <c r="BF17" s="351">
        <f t="shared" si="98"/>
        <v>0.25643090473932428</v>
      </c>
      <c r="BG17" s="350"/>
      <c r="BH17" s="348">
        <v>3747904.7313999999</v>
      </c>
      <c r="BI17" s="349">
        <v>0.24663086321723002</v>
      </c>
      <c r="BJ17" s="351">
        <f t="shared" si="99"/>
        <v>1.9858273872898957E-2</v>
      </c>
      <c r="BK17" s="350"/>
      <c r="BL17" s="348">
        <v>4022436.6702577379</v>
      </c>
      <c r="BM17" s="349">
        <v>0.23912744990636886</v>
      </c>
      <c r="BN17" s="351">
        <f t="shared" si="100"/>
        <v>-3.0423659119468094E-2</v>
      </c>
      <c r="BO17" s="350"/>
      <c r="BP17" s="105">
        <v>5745533.5202000001</v>
      </c>
      <c r="BQ17" s="349">
        <v>0.30976719562421123</v>
      </c>
      <c r="BR17" s="351">
        <f t="shared" si="101"/>
        <v>0.29540626032478334</v>
      </c>
      <c r="BS17" s="350"/>
      <c r="BT17" s="518">
        <v>6723403</v>
      </c>
      <c r="BU17" s="518">
        <v>0.34</v>
      </c>
      <c r="BV17" s="518">
        <f t="shared" si="102"/>
        <v>9.759847008611322E-2</v>
      </c>
      <c r="BW17" s="15">
        <v>7155288.9644999998</v>
      </c>
      <c r="BX17" s="16">
        <v>0.36964608490901918</v>
      </c>
      <c r="BY17" s="16">
        <f t="shared" si="65"/>
        <v>8.7194367379468174E-2</v>
      </c>
      <c r="BZ17" s="16">
        <v>8029824.328999999</v>
      </c>
      <c r="CA17" s="16">
        <v>0.39363869120338835</v>
      </c>
      <c r="CB17" s="16">
        <f t="shared" si="66"/>
        <v>6.4906967160965445E-2</v>
      </c>
      <c r="CC17" s="15">
        <f>F18+F19</f>
        <v>8459101.3854999989</v>
      </c>
      <c r="CD17" s="16">
        <f>G18+G19</f>
        <v>0.4070028380532128</v>
      </c>
      <c r="CE17" s="352">
        <f t="shared" si="104"/>
        <v>3.3950287785402988E-2</v>
      </c>
      <c r="CF17" s="353">
        <f t="shared" si="68"/>
        <v>5.9536305866793215</v>
      </c>
      <c r="CG17" s="352">
        <f t="shared" si="105"/>
        <v>0.1137546600202497</v>
      </c>
      <c r="CX17" s="438"/>
      <c r="CY17" s="455"/>
      <c r="CZ17" s="105"/>
      <c r="DA17" s="518"/>
      <c r="DB17" s="105"/>
      <c r="DK17" s="518"/>
      <c r="DQ17" s="537"/>
      <c r="DR17" s="537"/>
      <c r="DS17" s="537"/>
      <c r="DT17" s="537"/>
      <c r="DU17" s="537"/>
      <c r="DV17" s="537"/>
      <c r="DW17" s="537"/>
      <c r="DX17" s="537"/>
      <c r="DY17" s="537"/>
      <c r="DZ17" s="537"/>
      <c r="EI17" s="347"/>
      <c r="EO17" s="408"/>
      <c r="FE17" s="408"/>
      <c r="FG17" s="338">
        <f t="shared" si="84"/>
        <v>12</v>
      </c>
      <c r="FH17" s="360"/>
      <c r="FI17" s="361" t="s">
        <v>235</v>
      </c>
      <c r="FJ17" s="20">
        <v>28956.02</v>
      </c>
      <c r="FK17" s="20">
        <v>96946.930000000008</v>
      </c>
      <c r="FL17" s="20">
        <v>141566.59</v>
      </c>
      <c r="FM17" s="343">
        <f t="shared" si="28"/>
        <v>267469.53999999998</v>
      </c>
      <c r="FN17" s="20">
        <v>29235.52</v>
      </c>
      <c r="FO17" s="20">
        <v>97827.53</v>
      </c>
      <c r="FP17" s="20">
        <v>141566.59000000003</v>
      </c>
      <c r="FQ17" s="20">
        <v>268629.64</v>
      </c>
      <c r="FR17" s="20">
        <v>268629.64</v>
      </c>
      <c r="FS17" s="103"/>
      <c r="FT17" s="408"/>
      <c r="FV17" s="481"/>
      <c r="FW17" s="279"/>
      <c r="FX17" s="279"/>
      <c r="FY17" s="279"/>
      <c r="FZ17" s="279"/>
      <c r="GA17" s="279"/>
      <c r="GB17" s="279"/>
      <c r="GC17" s="279"/>
      <c r="GD17" s="279"/>
      <c r="GE17" s="279"/>
      <c r="HW17" s="338">
        <v>12</v>
      </c>
      <c r="HX17" s="322">
        <v>12</v>
      </c>
      <c r="HY17" s="322">
        <v>11</v>
      </c>
      <c r="HZ17" s="322">
        <v>10</v>
      </c>
      <c r="IA17" s="347">
        <v>98088319.200000003</v>
      </c>
      <c r="IB17" s="347">
        <v>88166104</v>
      </c>
      <c r="IC17" s="342">
        <f t="shared" si="5"/>
        <v>0.90909090909090906</v>
      </c>
      <c r="ID17" s="342">
        <f t="shared" si="6"/>
        <v>0.89884406949854223</v>
      </c>
      <c r="IE17" s="344">
        <v>0</v>
      </c>
      <c r="IF17" s="344">
        <v>1</v>
      </c>
      <c r="IG17" s="344">
        <v>0</v>
      </c>
      <c r="IK17" s="364">
        <v>12</v>
      </c>
      <c r="IL17" s="365">
        <v>12</v>
      </c>
      <c r="IM17" s="341">
        <f t="shared" si="7"/>
        <v>0.89884406949854223</v>
      </c>
      <c r="IN17" s="20">
        <v>274.95</v>
      </c>
      <c r="IO17" s="343">
        <f t="shared" si="29"/>
        <v>247.13717690862418</v>
      </c>
      <c r="IP17" s="20">
        <v>10676251.800000001</v>
      </c>
      <c r="IQ17" s="343">
        <v>9591387</v>
      </c>
      <c r="IR17" s="20">
        <v>4428895.8442199994</v>
      </c>
      <c r="IS17" s="343">
        <v>3936204</v>
      </c>
      <c r="IT17" s="20">
        <v>247500</v>
      </c>
      <c r="IU17" s="20">
        <v>225000</v>
      </c>
      <c r="IV17" s="20">
        <f t="shared" si="30"/>
        <v>4676670.7942199996</v>
      </c>
      <c r="IW17" s="20">
        <f t="shared" si="30"/>
        <v>4161451.1371769086</v>
      </c>
      <c r="IX17" s="314"/>
      <c r="IY17" s="315"/>
      <c r="IZ17" s="314"/>
      <c r="JA17" s="366">
        <v>12</v>
      </c>
      <c r="JB17" s="365">
        <v>12</v>
      </c>
      <c r="JC17" s="367">
        <f t="shared" si="8"/>
        <v>0.90909090909090906</v>
      </c>
      <c r="JD17" s="368">
        <f t="shared" si="8"/>
        <v>0.89884406949854223</v>
      </c>
      <c r="JE17" s="20">
        <v>1477321.4620474414</v>
      </c>
      <c r="JF17" s="343">
        <f t="shared" si="70"/>
        <v>1327881.6349042584</v>
      </c>
      <c r="JG17" s="20">
        <v>173561.70699999997</v>
      </c>
      <c r="JH17" s="343">
        <f t="shared" si="31"/>
        <v>156004.91102899361</v>
      </c>
      <c r="JI17" s="20">
        <v>902813.73595255893</v>
      </c>
      <c r="JJ17" s="343">
        <f t="shared" si="32"/>
        <v>820739.75995687174</v>
      </c>
      <c r="JK17" s="20">
        <v>919805.23799024592</v>
      </c>
      <c r="JL17" s="343">
        <v>796353.12678071694</v>
      </c>
      <c r="JM17" s="20">
        <v>125924.8045</v>
      </c>
      <c r="JN17" s="343">
        <f t="shared" si="33"/>
        <v>113186.76372758835</v>
      </c>
      <c r="JO17" s="20">
        <v>84256.07699999999</v>
      </c>
      <c r="JP17" s="343">
        <f t="shared" si="34"/>
        <v>75733.075130662517</v>
      </c>
      <c r="JQ17" s="20">
        <v>165395.27000000002</v>
      </c>
      <c r="JR17" s="343">
        <f t="shared" si="35"/>
        <v>148664.55756261016</v>
      </c>
      <c r="JS17" s="20">
        <v>525941.78747999994</v>
      </c>
      <c r="JT17" s="343">
        <f t="shared" si="36"/>
        <v>472739.65657786059</v>
      </c>
      <c r="JU17" s="20">
        <f t="shared" si="37"/>
        <v>4375020.0819702465</v>
      </c>
      <c r="JV17" s="20">
        <f t="shared" si="37"/>
        <v>3911303.4856695626</v>
      </c>
      <c r="JW17" s="369">
        <f t="shared" si="9"/>
        <v>4.4362893540918655</v>
      </c>
      <c r="KA17" s="338">
        <v>12</v>
      </c>
      <c r="KB17" s="322">
        <v>12</v>
      </c>
      <c r="KC17" s="518">
        <f t="shared" si="10"/>
        <v>10</v>
      </c>
      <c r="KD17" s="518">
        <f t="shared" si="11"/>
        <v>10</v>
      </c>
      <c r="KE17" s="370">
        <f t="shared" si="12"/>
        <v>88166104</v>
      </c>
      <c r="KF17" s="370">
        <f t="shared" si="13"/>
        <v>91748816.754233092</v>
      </c>
      <c r="KG17" s="371">
        <f t="shared" si="38"/>
        <v>1</v>
      </c>
      <c r="KH17" s="371">
        <f t="shared" si="39"/>
        <v>1.0406359427454466</v>
      </c>
      <c r="KI17" s="371">
        <f t="shared" si="40"/>
        <v>1.0494176155796529</v>
      </c>
      <c r="KJ17" s="322" t="s">
        <v>440</v>
      </c>
      <c r="KK17" s="322"/>
      <c r="KL17" s="323"/>
      <c r="KM17" s="322"/>
      <c r="KN17" s="338">
        <v>12</v>
      </c>
      <c r="KO17" s="322">
        <v>12</v>
      </c>
      <c r="KP17" s="437" t="str">
        <f t="shared" si="14"/>
        <v>Q4</v>
      </c>
      <c r="KQ17" s="373">
        <f t="shared" si="15"/>
        <v>1.0494176155796529</v>
      </c>
      <c r="KR17" s="358">
        <f t="shared" si="41"/>
        <v>247.13717690862418</v>
      </c>
      <c r="KS17" s="358">
        <f t="shared" si="42"/>
        <v>259.35010691253524</v>
      </c>
      <c r="KT17" s="358">
        <f t="shared" si="16"/>
        <v>9591387</v>
      </c>
      <c r="KU17" s="358">
        <f t="shared" si="43"/>
        <v>10010946.780287372</v>
      </c>
      <c r="KV17" s="358">
        <f t="shared" si="17"/>
        <v>3936204</v>
      </c>
      <c r="KW17" s="358">
        <f t="shared" si="18"/>
        <v>5495486.5386656867</v>
      </c>
      <c r="KX17" s="358">
        <f t="shared" si="44"/>
        <v>225000</v>
      </c>
      <c r="KY17" s="358">
        <f t="shared" si="45"/>
        <v>198616.36907749929</v>
      </c>
      <c r="KZ17" s="358">
        <f t="shared" si="46"/>
        <v>4161451.1371769086</v>
      </c>
      <c r="LA17" s="358">
        <f t="shared" si="46"/>
        <v>5694362.2578500984</v>
      </c>
      <c r="LB17" s="326"/>
      <c r="LC17" s="323"/>
      <c r="LD17" s="322"/>
      <c r="LE17" s="374">
        <f t="shared" si="71"/>
        <v>12</v>
      </c>
      <c r="LF17" s="375">
        <v>11</v>
      </c>
      <c r="LG17" s="376">
        <f t="shared" si="72"/>
        <v>1</v>
      </c>
      <c r="LH17" s="376">
        <f t="shared" si="72"/>
        <v>1.0406359427454466</v>
      </c>
      <c r="LI17" s="377">
        <v>106.45762205358784</v>
      </c>
      <c r="LJ17" s="290">
        <f t="shared" si="73"/>
        <v>1186816.0537694695</v>
      </c>
      <c r="LK17" s="377">
        <v>106.45762205358784</v>
      </c>
      <c r="LL17" s="290">
        <f t="shared" si="47"/>
        <v>82772.72651746319</v>
      </c>
      <c r="LM17" s="377">
        <v>106.45762205358784</v>
      </c>
      <c r="LN17" s="290">
        <f t="shared" si="48"/>
        <v>563796.17958927469</v>
      </c>
      <c r="LO17" s="377">
        <v>118.614283549666</v>
      </c>
      <c r="LP17" s="290">
        <f t="shared" si="74"/>
        <v>1126062.0941259102</v>
      </c>
      <c r="LQ17" s="377">
        <v>119.48337591187899</v>
      </c>
      <c r="LR17" s="290">
        <f t="shared" si="49"/>
        <v>62271.602520549837</v>
      </c>
      <c r="LS17" s="377">
        <v>157.07111615098</v>
      </c>
      <c r="LT17" s="290">
        <f t="shared" si="50"/>
        <v>40296.053049399285</v>
      </c>
      <c r="LU17" s="377">
        <v>112.15574935818501</v>
      </c>
      <c r="LV17" s="290">
        <f t="shared" si="51"/>
        <v>104043.07222461203</v>
      </c>
      <c r="LW17" s="377">
        <v>116.939890710382</v>
      </c>
      <c r="LX17" s="378">
        <f t="shared" si="52"/>
        <v>342506.41598910582</v>
      </c>
      <c r="LY17" s="379">
        <f t="shared" si="53"/>
        <v>3609387.5320705916</v>
      </c>
      <c r="LZ17" s="379">
        <f t="shared" si="75"/>
        <v>3508564.1977857845</v>
      </c>
      <c r="MA17" s="103"/>
      <c r="MB17" s="335"/>
      <c r="MD17" s="338">
        <v>12</v>
      </c>
      <c r="ME17" s="380">
        <v>12</v>
      </c>
      <c r="MF17" s="20">
        <f t="shared" si="19"/>
        <v>4676670.7942199996</v>
      </c>
      <c r="MG17" s="20">
        <f t="shared" si="19"/>
        <v>4161451.1371769086</v>
      </c>
      <c r="MH17" s="343">
        <f t="shared" si="20"/>
        <v>5694362.2578500984</v>
      </c>
      <c r="MI17" s="20">
        <f t="shared" si="21"/>
        <v>4375020.0819702465</v>
      </c>
      <c r="MJ17" s="20">
        <f t="shared" si="21"/>
        <v>3911303.4856695626</v>
      </c>
      <c r="MK17" s="343">
        <f t="shared" si="54"/>
        <v>4104590.7777397372</v>
      </c>
      <c r="ML17" s="20">
        <f t="shared" si="55"/>
        <v>301650.71224975307</v>
      </c>
      <c r="MM17" s="20">
        <f t="shared" si="55"/>
        <v>250147.65150734596</v>
      </c>
      <c r="MN17" s="20">
        <f t="shared" si="55"/>
        <v>1589771.4801103612</v>
      </c>
      <c r="MX17" s="283">
        <f t="shared" si="85"/>
        <v>11</v>
      </c>
      <c r="MY17" s="388" t="s">
        <v>50</v>
      </c>
      <c r="MZ17" s="17">
        <f t="shared" si="115"/>
        <v>22755368.059679482</v>
      </c>
      <c r="NA17" s="381">
        <f t="shared" si="116"/>
        <v>1.0351166441743493</v>
      </c>
      <c r="NB17" s="97"/>
      <c r="NC17" s="18">
        <f t="shared" si="117"/>
        <v>22755368.059679482</v>
      </c>
      <c r="ND17" s="381">
        <f t="shared" si="118"/>
        <v>1.0351166441743493</v>
      </c>
      <c r="NH17" s="283">
        <f t="shared" si="86"/>
        <v>11</v>
      </c>
      <c r="NI17" s="388" t="str">
        <f t="shared" si="58"/>
        <v>Building</v>
      </c>
      <c r="NJ17" s="17">
        <v>22476369.306504369</v>
      </c>
      <c r="NK17" s="17">
        <f t="shared" si="119"/>
        <v>22755368.059679482</v>
      </c>
      <c r="NL17" s="17">
        <f t="shared" si="77"/>
        <v>278998.75317511335</v>
      </c>
      <c r="NM17" s="395">
        <f t="shared" si="78"/>
        <v>1.2412981357019024E-2</v>
      </c>
    </row>
    <row r="18" spans="2:377" x14ac:dyDescent="0.3">
      <c r="B18" s="265">
        <f t="shared" si="79"/>
        <v>13</v>
      </c>
      <c r="C18" s="384"/>
      <c r="D18" s="97" t="s">
        <v>53</v>
      </c>
      <c r="E18" s="286"/>
      <c r="F18" s="18">
        <f>EI9</f>
        <v>4942367.6066999994</v>
      </c>
      <c r="G18" s="313">
        <f t="shared" si="108"/>
        <v>0.23779802971474448</v>
      </c>
      <c r="H18" s="18">
        <f>EM9</f>
        <v>4946747.1885321252</v>
      </c>
      <c r="I18" s="309">
        <f t="shared" si="109"/>
        <v>0.23743688113603295</v>
      </c>
      <c r="J18" s="290">
        <f t="shared" si="59"/>
        <v>4379.581832125783</v>
      </c>
      <c r="K18" s="18">
        <f>JR26</f>
        <v>4997847.5990450596</v>
      </c>
      <c r="L18" s="309">
        <f t="shared" si="110"/>
        <v>0.236585028544606</v>
      </c>
      <c r="M18" s="290">
        <f t="shared" si="60"/>
        <v>51100.410512934439</v>
      </c>
      <c r="N18" s="18">
        <f>LV27</f>
        <v>5512122.4121842906</v>
      </c>
      <c r="O18" s="309">
        <f t="shared" si="111"/>
        <v>0.25074038084615324</v>
      </c>
      <c r="P18" s="290">
        <f t="shared" si="61"/>
        <v>514274.81313923094</v>
      </c>
      <c r="Q18" s="18">
        <f t="shared" si="62"/>
        <v>569754.80548429117</v>
      </c>
      <c r="R18" s="310">
        <f t="shared" si="63"/>
        <v>5.4425813144600266E-2</v>
      </c>
      <c r="V18" s="249">
        <f>V16+1</f>
        <v>9</v>
      </c>
      <c r="W18" s="345" t="s">
        <v>176</v>
      </c>
      <c r="X18" s="20">
        <f>SUMPRODUCT($MN$6:$MN$25,IE6:IE25)</f>
        <v>2341108.817093337</v>
      </c>
      <c r="Y18" s="20">
        <f>SUMPRODUCT($MN$6:$MN$25,IF6:IF25)</f>
        <v>12888533.157605685</v>
      </c>
      <c r="Z18" s="20">
        <f>SUMPRODUCT($MN$6:$MN$25,IG6:IG25)</f>
        <v>27152925.562552888</v>
      </c>
      <c r="AA18" s="20">
        <f>SUM(X18:Z18)</f>
        <v>42382567.537251912</v>
      </c>
      <c r="AB18" s="20"/>
      <c r="AF18" s="385">
        <f t="shared" si="80"/>
        <v>12</v>
      </c>
      <c r="AG18" s="282" t="s">
        <v>28</v>
      </c>
      <c r="AH18" s="97"/>
      <c r="AI18" s="97"/>
      <c r="AJ18" s="97"/>
      <c r="AL18" s="464"/>
      <c r="AN18" s="483">
        <f t="shared" si="121"/>
        <v>13</v>
      </c>
      <c r="AO18" s="484"/>
      <c r="AP18" s="485"/>
      <c r="AQ18" s="485" t="s">
        <v>54</v>
      </c>
      <c r="AR18" s="486"/>
      <c r="AS18" s="487">
        <v>5928822.8260000004</v>
      </c>
      <c r="AT18" s="488">
        <v>0.57815077141840288</v>
      </c>
      <c r="AU18" s="489"/>
      <c r="AV18" s="487">
        <v>3792013.7597000003</v>
      </c>
      <c r="AW18" s="488">
        <v>0.35137968141626907</v>
      </c>
      <c r="AX18" s="490">
        <f t="shared" si="96"/>
        <v>-0.39223521132002692</v>
      </c>
      <c r="AY18" s="489"/>
      <c r="AZ18" s="487">
        <v>5238845.7033359464</v>
      </c>
      <c r="BA18" s="488">
        <v>0.40606900530629209</v>
      </c>
      <c r="BB18" s="490">
        <f t="shared" si="97"/>
        <v>0.15564167987628807</v>
      </c>
      <c r="BC18" s="489"/>
      <c r="BD18" s="487">
        <v>5407089.8699504221</v>
      </c>
      <c r="BE18" s="488">
        <v>0.36767645852816944</v>
      </c>
      <c r="BF18" s="490">
        <f t="shared" si="98"/>
        <v>-9.4546853555502741E-2</v>
      </c>
      <c r="BG18" s="489"/>
      <c r="BH18" s="487">
        <v>7543565.8774000006</v>
      </c>
      <c r="BI18" s="488">
        <v>0.49640433719995791</v>
      </c>
      <c r="BJ18" s="490">
        <f t="shared" si="99"/>
        <v>0.3501118325255137</v>
      </c>
      <c r="BK18" s="489"/>
      <c r="BL18" s="487">
        <v>8178976.4044999983</v>
      </c>
      <c r="BM18" s="488">
        <v>0.48622711326046231</v>
      </c>
      <c r="BN18" s="490">
        <f t="shared" si="100"/>
        <v>-2.050188359936933E-2</v>
      </c>
      <c r="BO18" s="489"/>
      <c r="BP18" s="487">
        <v>9693134.9169999994</v>
      </c>
      <c r="BQ18" s="488">
        <v>0.52259989598697731</v>
      </c>
      <c r="BR18" s="490">
        <f t="shared" si="101"/>
        <v>7.4806158962654967E-2</v>
      </c>
      <c r="BS18" s="489"/>
      <c r="BT18" s="485">
        <v>9228973</v>
      </c>
      <c r="BU18" s="485">
        <v>0.47</v>
      </c>
      <c r="BV18" s="485">
        <f t="shared" si="102"/>
        <v>-0.10065041419045384</v>
      </c>
      <c r="BW18" s="26">
        <v>10423908.153099999</v>
      </c>
      <c r="BX18" s="27">
        <v>0.53850471411588496</v>
      </c>
      <c r="BY18" s="27">
        <f t="shared" si="65"/>
        <v>0.14575471088486158</v>
      </c>
      <c r="BZ18" s="27">
        <v>10530651.726950001</v>
      </c>
      <c r="CA18" s="27">
        <v>0.51623445214666785</v>
      </c>
      <c r="CB18" s="27">
        <f t="shared" si="66"/>
        <v>-4.1355741900570675E-2</v>
      </c>
      <c r="CC18" s="26">
        <f t="shared" ref="CC18:CD20" si="122">F20</f>
        <v>10262021.9365</v>
      </c>
      <c r="CD18" s="27">
        <f t="shared" si="122"/>
        <v>0.49374890570281921</v>
      </c>
      <c r="CE18" s="395">
        <f t="shared" si="104"/>
        <v>-4.3556849703359712E-2</v>
      </c>
      <c r="CF18" s="491">
        <f t="shared" si="68"/>
        <v>0.73087006268721288</v>
      </c>
      <c r="CG18" s="395">
        <f t="shared" si="105"/>
        <v>3.0948366399667249E-2</v>
      </c>
      <c r="CX18" s="438"/>
      <c r="CY18" s="455"/>
      <c r="CZ18" s="105"/>
      <c r="DA18" s="518"/>
      <c r="DB18" s="105"/>
      <c r="DK18" s="518"/>
      <c r="DQ18" s="537"/>
      <c r="DR18" s="537"/>
      <c r="DS18" s="537"/>
      <c r="DT18" s="537"/>
      <c r="DU18" s="537"/>
      <c r="DV18" s="537"/>
      <c r="DW18" s="537"/>
      <c r="DX18" s="537"/>
      <c r="DY18" s="537"/>
      <c r="DZ18" s="537"/>
      <c r="EI18" s="347"/>
      <c r="EO18" s="408"/>
      <c r="FE18" s="408"/>
      <c r="FG18" s="283">
        <f t="shared" si="84"/>
        <v>13</v>
      </c>
      <c r="FH18" s="406"/>
      <c r="FI18" s="407" t="s">
        <v>236</v>
      </c>
      <c r="FJ18" s="17">
        <v>43908.417999999998</v>
      </c>
      <c r="FK18" s="17">
        <v>51418.920000000006</v>
      </c>
      <c r="FL18" s="17">
        <v>50658.33</v>
      </c>
      <c r="FM18" s="290">
        <f t="shared" si="28"/>
        <v>145985.66800000001</v>
      </c>
      <c r="FN18" s="17">
        <v>44220.630121212111</v>
      </c>
      <c r="FO18" s="17">
        <v>51511.12</v>
      </c>
      <c r="FP18" s="17">
        <v>50658.330000000009</v>
      </c>
      <c r="FQ18" s="17">
        <v>146390.08012121212</v>
      </c>
      <c r="FR18" s="17">
        <v>146390.08012121212</v>
      </c>
      <c r="FS18" s="103"/>
      <c r="FT18" s="408"/>
      <c r="GB18" s="344"/>
      <c r="GC18" s="344"/>
      <c r="GD18" s="344"/>
      <c r="GE18" s="344"/>
      <c r="GK18" s="355"/>
      <c r="GL18" s="355"/>
      <c r="GM18" s="355"/>
      <c r="GN18" s="355"/>
      <c r="GO18" s="355"/>
      <c r="GP18" s="355"/>
      <c r="GQ18" s="355"/>
      <c r="GR18" s="355"/>
      <c r="HW18" s="283">
        <v>13</v>
      </c>
      <c r="HX18" s="306">
        <v>13</v>
      </c>
      <c r="HY18" s="306">
        <v>10</v>
      </c>
      <c r="HZ18" s="306">
        <v>11</v>
      </c>
      <c r="IA18" s="307">
        <v>102121804</v>
      </c>
      <c r="IB18" s="307">
        <v>110978821</v>
      </c>
      <c r="IC18" s="309">
        <f t="shared" si="5"/>
        <v>1.1000000000000001</v>
      </c>
      <c r="ID18" s="309">
        <f t="shared" si="6"/>
        <v>1.0867299308578606</v>
      </c>
      <c r="IE18" s="310">
        <v>0</v>
      </c>
      <c r="IF18" s="310">
        <v>1</v>
      </c>
      <c r="IG18" s="310">
        <v>0</v>
      </c>
      <c r="IK18" s="410">
        <v>13</v>
      </c>
      <c r="IL18" s="317">
        <v>13</v>
      </c>
      <c r="IM18" s="313">
        <f t="shared" si="7"/>
        <v>1.0867299308578606</v>
      </c>
      <c r="IN18" s="17">
        <v>38</v>
      </c>
      <c r="IO18" s="290">
        <f t="shared" si="29"/>
        <v>41.295737372598701</v>
      </c>
      <c r="IP18" s="17">
        <v>11270819</v>
      </c>
      <c r="IQ18" s="290">
        <v>12226499</v>
      </c>
      <c r="IR18" s="17">
        <v>4764103.0435000006</v>
      </c>
      <c r="IS18" s="290">
        <v>5108269</v>
      </c>
      <c r="IT18" s="17">
        <v>225000</v>
      </c>
      <c r="IU18" s="17">
        <v>247500</v>
      </c>
      <c r="IV18" s="17">
        <f t="shared" si="30"/>
        <v>4989141.0435000006</v>
      </c>
      <c r="IW18" s="17">
        <f t="shared" si="30"/>
        <v>5355810.2957373727</v>
      </c>
      <c r="IX18" s="314"/>
      <c r="IY18" s="315"/>
      <c r="IZ18" s="314"/>
      <c r="JA18" s="316">
        <v>13</v>
      </c>
      <c r="JB18" s="317">
        <v>13</v>
      </c>
      <c r="JC18" s="318">
        <f t="shared" si="8"/>
        <v>1.1000000000000001</v>
      </c>
      <c r="JD18" s="319">
        <f t="shared" si="8"/>
        <v>1.0867299308578606</v>
      </c>
      <c r="JE18" s="17">
        <v>2071386.4181252802</v>
      </c>
      <c r="JF18" s="290">
        <f t="shared" si="70"/>
        <v>2251037.6189491972</v>
      </c>
      <c r="JG18" s="17">
        <v>70310.223499999993</v>
      </c>
      <c r="JH18" s="290">
        <f t="shared" si="31"/>
        <v>76408.224322755719</v>
      </c>
      <c r="JI18" s="17">
        <v>1129294.8683747198</v>
      </c>
      <c r="JJ18" s="290">
        <f t="shared" si="32"/>
        <v>1242224.3552121918</v>
      </c>
      <c r="JK18" s="17">
        <v>1201729.8593524098</v>
      </c>
      <c r="JL18" s="290">
        <v>1325181.9705619391</v>
      </c>
      <c r="JM18" s="17">
        <v>49177.789399999994</v>
      </c>
      <c r="JN18" s="290">
        <f t="shared" si="33"/>
        <v>53442.975674404428</v>
      </c>
      <c r="JO18" s="17">
        <v>78958.960399999982</v>
      </c>
      <c r="JP18" s="290">
        <f t="shared" si="34"/>
        <v>85807.065576100533</v>
      </c>
      <c r="JQ18" s="17">
        <v>137795.64800000002</v>
      </c>
      <c r="JR18" s="290">
        <f t="shared" si="35"/>
        <v>149746.65502355411</v>
      </c>
      <c r="JS18" s="17">
        <v>297705.73260000005</v>
      </c>
      <c r="JT18" s="290">
        <f t="shared" si="36"/>
        <v>323525.73020438681</v>
      </c>
      <c r="JU18" s="17">
        <f t="shared" si="37"/>
        <v>5036359.4997524098</v>
      </c>
      <c r="JV18" s="17">
        <f t="shared" si="37"/>
        <v>5507374.5955245309</v>
      </c>
      <c r="JW18" s="320">
        <f t="shared" si="9"/>
        <v>4.9625455973482824</v>
      </c>
      <c r="KA18" s="283">
        <v>13</v>
      </c>
      <c r="KB18" s="306">
        <v>13</v>
      </c>
      <c r="KC18" s="97">
        <f t="shared" si="10"/>
        <v>11</v>
      </c>
      <c r="KD18" s="390">
        <f t="shared" si="11"/>
        <v>11</v>
      </c>
      <c r="KE18" s="289">
        <f t="shared" si="12"/>
        <v>110978821</v>
      </c>
      <c r="KF18" s="289">
        <f t="shared" si="13"/>
        <v>115488550.01611316</v>
      </c>
      <c r="KG18" s="321">
        <f t="shared" si="38"/>
        <v>1</v>
      </c>
      <c r="KH18" s="321">
        <f t="shared" si="39"/>
        <v>1.0406359427454466</v>
      </c>
      <c r="KI18" s="321">
        <f t="shared" si="40"/>
        <v>0.9573427513627949</v>
      </c>
      <c r="KJ18" s="306" t="s">
        <v>256</v>
      </c>
      <c r="KK18" s="322"/>
      <c r="KL18" s="323"/>
      <c r="KM18" s="322"/>
      <c r="KN18" s="283">
        <v>13</v>
      </c>
      <c r="KO18" s="306">
        <v>13</v>
      </c>
      <c r="KP18" s="324" t="str">
        <f t="shared" si="14"/>
        <v>Q3</v>
      </c>
      <c r="KQ18" s="325">
        <f t="shared" si="15"/>
        <v>0.9573427513627949</v>
      </c>
      <c r="KR18" s="17">
        <f t="shared" si="41"/>
        <v>41.295737372598701</v>
      </c>
      <c r="KS18" s="17">
        <f t="shared" si="42"/>
        <v>39.534174835839032</v>
      </c>
      <c r="KT18" s="17">
        <f t="shared" si="16"/>
        <v>12226499</v>
      </c>
      <c r="KU18" s="17">
        <f t="shared" si="43"/>
        <v>12601249.463966772</v>
      </c>
      <c r="KV18" s="17">
        <f t="shared" si="17"/>
        <v>5108269</v>
      </c>
      <c r="KW18" s="17">
        <f t="shared" si="18"/>
        <v>6917427.3242525142</v>
      </c>
      <c r="KX18" s="17">
        <f t="shared" si="44"/>
        <v>247500</v>
      </c>
      <c r="KY18" s="17">
        <f t="shared" si="45"/>
        <v>250007.76343164407</v>
      </c>
      <c r="KZ18" s="17">
        <f t="shared" si="46"/>
        <v>5355810.2957373727</v>
      </c>
      <c r="LA18" s="17">
        <f t="shared" si="46"/>
        <v>7167474.6218589945</v>
      </c>
      <c r="LB18" s="326"/>
      <c r="LC18" s="323"/>
      <c r="LD18" s="322"/>
      <c r="LE18" s="364">
        <f t="shared" si="71"/>
        <v>13</v>
      </c>
      <c r="LF18" s="365">
        <v>12</v>
      </c>
      <c r="LG18" s="411">
        <f t="shared" si="72"/>
        <v>1</v>
      </c>
      <c r="LH18" s="411">
        <f t="shared" si="72"/>
        <v>1.0406359427454466</v>
      </c>
      <c r="LI18" s="412">
        <v>92.086954396969617</v>
      </c>
      <c r="LJ18" s="343">
        <f t="shared" si="73"/>
        <v>1409000.9507348647</v>
      </c>
      <c r="LK18" s="412">
        <v>92.086954396969617</v>
      </c>
      <c r="LL18" s="343">
        <f t="shared" si="47"/>
        <v>165535.13670290995</v>
      </c>
      <c r="LM18" s="412">
        <v>92.086954396969617</v>
      </c>
      <c r="LN18" s="343">
        <f t="shared" si="48"/>
        <v>836871.1040764068</v>
      </c>
      <c r="LO18" s="412">
        <v>119.50379714140099</v>
      </c>
      <c r="LP18" s="343">
        <f t="shared" si="74"/>
        <v>826803.49761689059</v>
      </c>
      <c r="LQ18" s="412">
        <v>120.433043671646</v>
      </c>
      <c r="LR18" s="343">
        <f t="shared" si="49"/>
        <v>122173.10937603581</v>
      </c>
      <c r="LS18" s="412">
        <v>146.40099357416699</v>
      </c>
      <c r="LT18" s="343">
        <f t="shared" si="50"/>
        <v>76879.85295795335</v>
      </c>
      <c r="LU18" s="412">
        <v>116.183248398364</v>
      </c>
      <c r="LV18" s="343">
        <f t="shared" si="51"/>
        <v>157001.73831862281</v>
      </c>
      <c r="LW18" s="412">
        <v>117.5956284153</v>
      </c>
      <c r="LX18" s="343">
        <f t="shared" si="52"/>
        <v>510325.3879560536</v>
      </c>
      <c r="LY18" s="20">
        <f t="shared" si="53"/>
        <v>3911303.4856695626</v>
      </c>
      <c r="LZ18" s="20">
        <f t="shared" si="75"/>
        <v>4104590.7777397372</v>
      </c>
      <c r="MA18" s="103"/>
      <c r="MB18" s="335"/>
      <c r="MD18" s="283">
        <v>13</v>
      </c>
      <c r="ME18" s="336">
        <v>13</v>
      </c>
      <c r="MF18" s="17">
        <f t="shared" si="19"/>
        <v>4989141.0435000006</v>
      </c>
      <c r="MG18" s="17">
        <f t="shared" si="19"/>
        <v>5355810.2957373727</v>
      </c>
      <c r="MH18" s="290">
        <f t="shared" si="20"/>
        <v>7167474.6218589945</v>
      </c>
      <c r="MI18" s="17">
        <f t="shared" si="21"/>
        <v>5036359.4997524098</v>
      </c>
      <c r="MJ18" s="17">
        <f t="shared" si="21"/>
        <v>5507374.5955245309</v>
      </c>
      <c r="MK18" s="290">
        <f t="shared" si="54"/>
        <v>5272445.1480650138</v>
      </c>
      <c r="ML18" s="17">
        <f t="shared" si="55"/>
        <v>-47218.456252409145</v>
      </c>
      <c r="MM18" s="17">
        <f t="shared" si="55"/>
        <v>-151564.29978715815</v>
      </c>
      <c r="MN18" s="17">
        <f t="shared" si="55"/>
        <v>1895029.4737939807</v>
      </c>
      <c r="MX18" s="338">
        <f t="shared" si="85"/>
        <v>12</v>
      </c>
      <c r="MY18" s="346" t="s">
        <v>53</v>
      </c>
      <c r="MZ18" s="20">
        <f t="shared" si="115"/>
        <v>5512122.4121842906</v>
      </c>
      <c r="NA18" s="414">
        <f t="shared" si="116"/>
        <v>0.25074038084615324</v>
      </c>
      <c r="NC18" s="15">
        <f t="shared" si="117"/>
        <v>5512122.4121842906</v>
      </c>
      <c r="ND18" s="414">
        <f t="shared" si="118"/>
        <v>0.25074038084615324</v>
      </c>
      <c r="NH18" s="338">
        <f t="shared" si="86"/>
        <v>12</v>
      </c>
      <c r="NI18" s="346" t="str">
        <f t="shared" si="58"/>
        <v>Equipment</v>
      </c>
      <c r="NJ18" s="20">
        <v>5407933.3588502686</v>
      </c>
      <c r="NK18" s="20">
        <f t="shared" si="119"/>
        <v>5512122.4121842906</v>
      </c>
      <c r="NL18" s="20">
        <f t="shared" si="77"/>
        <v>104189.05333402194</v>
      </c>
      <c r="NM18" s="351">
        <f t="shared" si="78"/>
        <v>1.9265964726342823E-2</v>
      </c>
    </row>
    <row r="19" spans="2:377" x14ac:dyDescent="0.3">
      <c r="B19" s="226">
        <f t="shared" si="79"/>
        <v>14</v>
      </c>
      <c r="C19" s="339"/>
      <c r="D19" s="518" t="s">
        <v>51</v>
      </c>
      <c r="E19" s="340"/>
      <c r="F19" s="15">
        <f>EV9</f>
        <v>3516733.7788</v>
      </c>
      <c r="G19" s="341">
        <f t="shared" si="108"/>
        <v>0.16920480833846835</v>
      </c>
      <c r="H19" s="15">
        <f>FC9</f>
        <v>3375997.0894500008</v>
      </c>
      <c r="I19" s="342">
        <f t="shared" si="109"/>
        <v>0.1620430939955094</v>
      </c>
      <c r="J19" s="343">
        <f t="shared" si="59"/>
        <v>-140736.68934999919</v>
      </c>
      <c r="K19" s="15">
        <f>JN26+JP26</f>
        <v>3467071.2212437498</v>
      </c>
      <c r="L19" s="342">
        <f t="shared" si="110"/>
        <v>0.1641220800732022</v>
      </c>
      <c r="M19" s="343">
        <f t="shared" si="60"/>
        <v>91074.131793749053</v>
      </c>
      <c r="N19" s="15">
        <f>LR27+LT27</f>
        <v>3587295.4475783538</v>
      </c>
      <c r="O19" s="342">
        <f t="shared" si="111"/>
        <v>0.16318212105471561</v>
      </c>
      <c r="P19" s="343">
        <f t="shared" si="61"/>
        <v>120224.22633460397</v>
      </c>
      <c r="Q19" s="15">
        <f t="shared" si="62"/>
        <v>70561.668778353836</v>
      </c>
      <c r="R19" s="344">
        <f t="shared" si="63"/>
        <v>-3.5594066994274032E-2</v>
      </c>
      <c r="V19" s="385">
        <f t="shared" si="64"/>
        <v>10</v>
      </c>
      <c r="W19" s="386" t="s">
        <v>185</v>
      </c>
      <c r="X19" s="309">
        <f>X18/N$24*100</f>
        <v>0.10649446302257567</v>
      </c>
      <c r="Y19" s="309">
        <f>Y18/N$24*100</f>
        <v>0.58628518578303956</v>
      </c>
      <c r="Z19" s="309">
        <f>Z18/N$24*100</f>
        <v>1.2351566941968217</v>
      </c>
      <c r="AA19" s="309">
        <f>AA18/N$24*100</f>
        <v>1.927936343002437</v>
      </c>
      <c r="AB19" s="342"/>
      <c r="AC19" s="348"/>
      <c r="AF19" s="249">
        <f t="shared" si="80"/>
        <v>13</v>
      </c>
      <c r="AG19" s="346" t="s">
        <v>78</v>
      </c>
      <c r="AH19" s="105">
        <f>AH15*LH27</f>
        <v>1874359.8414632636</v>
      </c>
      <c r="AI19" s="105">
        <f>AI15*LH27</f>
        <v>117694.48045988545</v>
      </c>
      <c r="AJ19" s="105">
        <f>AJ15*LG27</f>
        <v>547397.97344627196</v>
      </c>
      <c r="AL19" s="464"/>
      <c r="AN19" s="338">
        <f t="shared" si="121"/>
        <v>14</v>
      </c>
      <c r="AO19" s="492"/>
      <c r="AP19" s="493" t="s">
        <v>60</v>
      </c>
      <c r="AQ19" s="475"/>
      <c r="AR19" s="340"/>
      <c r="AS19" s="348">
        <v>32802383.3928</v>
      </c>
      <c r="AT19" s="349">
        <v>3.1987333437832652</v>
      </c>
      <c r="AU19" s="350"/>
      <c r="AV19" s="348">
        <v>36250313.730549999</v>
      </c>
      <c r="AW19" s="349">
        <v>3.359065788539803</v>
      </c>
      <c r="AX19" s="351">
        <f t="shared" si="96"/>
        <v>5.012372946564736E-2</v>
      </c>
      <c r="AY19" s="350"/>
      <c r="AZ19" s="348">
        <v>43223045.707989462</v>
      </c>
      <c r="BA19" s="349">
        <v>3.3502683932407789</v>
      </c>
      <c r="BB19" s="351">
        <f t="shared" si="97"/>
        <v>-2.6190005950578188E-3</v>
      </c>
      <c r="BC19" s="350"/>
      <c r="BD19" s="348">
        <v>49380961.369565383</v>
      </c>
      <c r="BE19" s="349">
        <v>3.3578537497555252</v>
      </c>
      <c r="BF19" s="351">
        <f t="shared" si="98"/>
        <v>2.2641041326867395E-3</v>
      </c>
      <c r="BG19" s="350"/>
      <c r="BH19" s="348">
        <v>57308507.547660008</v>
      </c>
      <c r="BI19" s="349">
        <v>3.7711862224659241</v>
      </c>
      <c r="BJ19" s="351">
        <f t="shared" si="99"/>
        <v>0.12309424516791179</v>
      </c>
      <c r="BK19" s="350"/>
      <c r="BL19" s="348">
        <v>61753474.575707734</v>
      </c>
      <c r="BM19" s="349">
        <v>3.6711456534132534</v>
      </c>
      <c r="BN19" s="351">
        <f t="shared" si="100"/>
        <v>-2.6527613103989212E-2</v>
      </c>
      <c r="BO19" s="350"/>
      <c r="BP19" s="348">
        <v>74174917.572400004</v>
      </c>
      <c r="BQ19" s="349">
        <v>3.9990987993156044</v>
      </c>
      <c r="BR19" s="351">
        <f t="shared" si="101"/>
        <v>8.9332643502563425E-2</v>
      </c>
      <c r="BS19" s="350"/>
      <c r="BT19" s="518">
        <v>83233170</v>
      </c>
      <c r="BU19" s="518">
        <v>4.24</v>
      </c>
      <c r="BV19" s="518">
        <f t="shared" si="102"/>
        <v>6.0238871999267252E-2</v>
      </c>
      <c r="BW19" s="15">
        <v>91278660.188299984</v>
      </c>
      <c r="BX19" s="16">
        <v>4.7155047883804926</v>
      </c>
      <c r="BY19" s="16">
        <f t="shared" si="65"/>
        <v>0.11214735575011603</v>
      </c>
      <c r="BZ19" s="16">
        <v>96836161.677461118</v>
      </c>
      <c r="CA19" s="16">
        <v>4.7471100714133083</v>
      </c>
      <c r="CB19" s="16">
        <f t="shared" si="66"/>
        <v>6.7024177582630795E-3</v>
      </c>
      <c r="CC19" s="15">
        <f t="shared" si="122"/>
        <v>99050498.270499989</v>
      </c>
      <c r="CD19" s="16">
        <f t="shared" si="122"/>
        <v>4.7657348067469085</v>
      </c>
      <c r="CE19" s="494">
        <f t="shared" si="104"/>
        <v>3.923383922727286E-3</v>
      </c>
      <c r="CF19" s="353">
        <f t="shared" si="68"/>
        <v>2.0196128459446396</v>
      </c>
      <c r="CG19" s="494">
        <f t="shared" si="105"/>
        <v>6.3319942515177807E-2</v>
      </c>
      <c r="CX19" s="438"/>
      <c r="CY19" s="455"/>
      <c r="CZ19" s="105"/>
      <c r="DA19" s="518"/>
      <c r="DB19" s="105"/>
      <c r="DK19" s="518"/>
      <c r="EO19" s="408"/>
      <c r="FE19" s="408"/>
      <c r="FG19" s="338">
        <f t="shared" si="84"/>
        <v>14</v>
      </c>
      <c r="FH19" s="360"/>
      <c r="FI19" s="361" t="s">
        <v>237</v>
      </c>
      <c r="FJ19" s="20">
        <v>61149.932899999993</v>
      </c>
      <c r="FK19" s="20">
        <v>92721.46</v>
      </c>
      <c r="FL19" s="20">
        <v>139427.68999999997</v>
      </c>
      <c r="FM19" s="343">
        <f t="shared" si="28"/>
        <v>293299.08289999998</v>
      </c>
      <c r="FN19" s="20">
        <v>64235.94502121213</v>
      </c>
      <c r="FO19" s="20">
        <v>92721.46</v>
      </c>
      <c r="FP19" s="20">
        <v>139427.69</v>
      </c>
      <c r="FQ19" s="20">
        <v>296385.09502121212</v>
      </c>
      <c r="FR19" s="20">
        <v>296385.09502121212</v>
      </c>
      <c r="FS19" s="103"/>
      <c r="FT19" s="408"/>
      <c r="HW19" s="338">
        <v>14</v>
      </c>
      <c r="HX19" s="322">
        <v>14</v>
      </c>
      <c r="HY19" s="322">
        <v>10</v>
      </c>
      <c r="HZ19" s="322">
        <v>11</v>
      </c>
      <c r="IA19" s="347">
        <v>127639512</v>
      </c>
      <c r="IB19" s="347">
        <v>140878049</v>
      </c>
      <c r="IC19" s="342">
        <f t="shared" si="5"/>
        <v>1.1000000000000001</v>
      </c>
      <c r="ID19" s="342">
        <f t="shared" si="6"/>
        <v>1.1037181730998784</v>
      </c>
      <c r="IE19" s="344">
        <v>0</v>
      </c>
      <c r="IF19" s="344">
        <v>0.81818181818181823</v>
      </c>
      <c r="IG19" s="344">
        <v>0.18181818181818182</v>
      </c>
      <c r="IK19" s="364">
        <v>14</v>
      </c>
      <c r="IL19" s="365">
        <v>14</v>
      </c>
      <c r="IM19" s="341">
        <f t="shared" si="7"/>
        <v>1.1037181730998784</v>
      </c>
      <c r="IN19" s="20">
        <v>5921.73</v>
      </c>
      <c r="IO19" s="343">
        <f t="shared" si="29"/>
        <v>6535.9210171907425</v>
      </c>
      <c r="IP19" s="20">
        <v>14076353</v>
      </c>
      <c r="IQ19" s="343">
        <v>15546310</v>
      </c>
      <c r="IR19" s="20">
        <v>6009582.7253</v>
      </c>
      <c r="IS19" s="343">
        <v>6612666</v>
      </c>
      <c r="IT19" s="20">
        <v>225000</v>
      </c>
      <c r="IU19" s="20">
        <v>247500</v>
      </c>
      <c r="IV19" s="20">
        <f t="shared" si="30"/>
        <v>6240504.4553000005</v>
      </c>
      <c r="IW19" s="20">
        <f t="shared" si="30"/>
        <v>6866701.9210171904</v>
      </c>
      <c r="IX19" s="314"/>
      <c r="IY19" s="315"/>
      <c r="IZ19" s="314"/>
      <c r="JA19" s="366">
        <v>14</v>
      </c>
      <c r="JB19" s="365">
        <v>14</v>
      </c>
      <c r="JC19" s="367">
        <f t="shared" si="8"/>
        <v>1.1000000000000001</v>
      </c>
      <c r="JD19" s="368">
        <f t="shared" si="8"/>
        <v>1.1037181730998784</v>
      </c>
      <c r="JE19" s="20">
        <v>2955752.728087069</v>
      </c>
      <c r="JF19" s="343">
        <f t="shared" si="70"/>
        <v>3262318.0011792416</v>
      </c>
      <c r="JG19" s="20">
        <v>72608.53</v>
      </c>
      <c r="JH19" s="343">
        <f t="shared" si="31"/>
        <v>80139.354083067708</v>
      </c>
      <c r="JI19" s="20">
        <v>1045787.5419129311</v>
      </c>
      <c r="JJ19" s="343">
        <f t="shared" si="32"/>
        <v>1150366.2961042244</v>
      </c>
      <c r="JK19" s="20">
        <v>1388384.8153083951</v>
      </c>
      <c r="JL19" s="343">
        <v>1553584.2256099153</v>
      </c>
      <c r="JM19" s="20">
        <v>143039.10675000004</v>
      </c>
      <c r="JN19" s="343">
        <f t="shared" si="33"/>
        <v>157874.86158394851</v>
      </c>
      <c r="JO19" s="20">
        <v>71991.232250000015</v>
      </c>
      <c r="JP19" s="343">
        <f t="shared" si="34"/>
        <v>79458.031338179062</v>
      </c>
      <c r="JQ19" s="20">
        <v>380591.60000000003</v>
      </c>
      <c r="JR19" s="343">
        <f t="shared" si="35"/>
        <v>420065.8654491597</v>
      </c>
      <c r="JS19" s="20">
        <v>583286.09279999998</v>
      </c>
      <c r="JT19" s="343">
        <f t="shared" si="36"/>
        <v>643783.46073978208</v>
      </c>
      <c r="JU19" s="20">
        <f t="shared" si="37"/>
        <v>6641441.6471083947</v>
      </c>
      <c r="JV19" s="20">
        <f t="shared" si="37"/>
        <v>7347590.0960875181</v>
      </c>
      <c r="JW19" s="369">
        <f t="shared" si="9"/>
        <v>5.2155677539852352</v>
      </c>
      <c r="KA19" s="338">
        <v>14</v>
      </c>
      <c r="KB19" s="322">
        <v>14</v>
      </c>
      <c r="KC19" s="518">
        <f t="shared" si="10"/>
        <v>11</v>
      </c>
      <c r="KD19" s="96">
        <f>KC19</f>
        <v>11</v>
      </c>
      <c r="KE19" s="370">
        <f t="shared" si="12"/>
        <v>140878049</v>
      </c>
      <c r="KF19" s="370">
        <f t="shared" si="13"/>
        <v>146602761.33325422</v>
      </c>
      <c r="KG19" s="371">
        <f t="shared" si="38"/>
        <v>1</v>
      </c>
      <c r="KH19" s="371">
        <f t="shared" si="39"/>
        <v>1.0406359427454466</v>
      </c>
      <c r="KI19" s="371">
        <f t="shared" si="40"/>
        <v>0.96806868570904714</v>
      </c>
      <c r="KJ19" s="322" t="s">
        <v>256</v>
      </c>
      <c r="KK19" s="322"/>
      <c r="KL19" s="323"/>
      <c r="KM19" s="322"/>
      <c r="KN19" s="338">
        <v>14</v>
      </c>
      <c r="KO19" s="322">
        <v>14</v>
      </c>
      <c r="KP19" s="437" t="str">
        <f t="shared" si="14"/>
        <v>Q3</v>
      </c>
      <c r="KQ19" s="373">
        <f t="shared" si="15"/>
        <v>0.96806868570904714</v>
      </c>
      <c r="KR19" s="358">
        <f t="shared" si="41"/>
        <v>6535.9210171907425</v>
      </c>
      <c r="KS19" s="358">
        <f t="shared" si="42"/>
        <v>6327.2204690099807</v>
      </c>
      <c r="KT19" s="358">
        <f t="shared" si="16"/>
        <v>15546310</v>
      </c>
      <c r="KU19" s="358">
        <f t="shared" si="43"/>
        <v>15996200.206937993</v>
      </c>
      <c r="KV19" s="358">
        <f t="shared" si="17"/>
        <v>6612666</v>
      </c>
      <c r="KW19" s="358">
        <f t="shared" si="18"/>
        <v>8781077.8377253115</v>
      </c>
      <c r="KX19" s="358">
        <f t="shared" si="44"/>
        <v>247500</v>
      </c>
      <c r="KY19" s="358">
        <f t="shared" si="45"/>
        <v>317363.30977154244</v>
      </c>
      <c r="KZ19" s="358">
        <f t="shared" si="46"/>
        <v>6866701.9210171904</v>
      </c>
      <c r="LA19" s="358">
        <f t="shared" si="46"/>
        <v>9104768.3679658622</v>
      </c>
      <c r="LB19" s="326"/>
      <c r="LC19" s="323"/>
      <c r="LD19" s="322"/>
      <c r="LE19" s="374">
        <f t="shared" si="71"/>
        <v>14</v>
      </c>
      <c r="LF19" s="375">
        <v>13</v>
      </c>
      <c r="LG19" s="376">
        <f t="shared" si="72"/>
        <v>1</v>
      </c>
      <c r="LH19" s="376">
        <f t="shared" si="72"/>
        <v>1.0406359427454466</v>
      </c>
      <c r="LI19" s="377">
        <v>106.45762205358784</v>
      </c>
      <c r="LJ19" s="290">
        <f t="shared" si="73"/>
        <v>2066122.2908146083</v>
      </c>
      <c r="LK19" s="377">
        <v>106.45762205358784</v>
      </c>
      <c r="LL19" s="290">
        <f t="shared" si="47"/>
        <v>70131.540293183978</v>
      </c>
      <c r="LM19" s="377">
        <v>106.45762205358784</v>
      </c>
      <c r="LN19" s="290">
        <f t="shared" si="48"/>
        <v>1095656.673019445</v>
      </c>
      <c r="LO19" s="377">
        <v>118.614283549666</v>
      </c>
      <c r="LP19" s="290">
        <f t="shared" si="74"/>
        <v>1386171.1284569153</v>
      </c>
      <c r="LQ19" s="377">
        <v>119.48337591187899</v>
      </c>
      <c r="LR19" s="290">
        <f t="shared" si="49"/>
        <v>58144.520502409883</v>
      </c>
      <c r="LS19" s="377">
        <v>157.07111615098</v>
      </c>
      <c r="LT19" s="290">
        <f t="shared" si="50"/>
        <v>81189.094342473996</v>
      </c>
      <c r="LU19" s="377">
        <v>112.15574935818501</v>
      </c>
      <c r="LV19" s="290">
        <f t="shared" si="51"/>
        <v>163823.47043026108</v>
      </c>
      <c r="LW19" s="377">
        <v>116.939890710382</v>
      </c>
      <c r="LX19" s="378">
        <f t="shared" si="52"/>
        <v>351206.4302057157</v>
      </c>
      <c r="LY19" s="379">
        <f t="shared" si="53"/>
        <v>5507374.5955245309</v>
      </c>
      <c r="LZ19" s="379">
        <f t="shared" si="75"/>
        <v>5272445.1480650138</v>
      </c>
      <c r="MA19" s="103"/>
      <c r="MB19" s="335"/>
      <c r="MD19" s="338">
        <v>14</v>
      </c>
      <c r="ME19" s="380">
        <v>14</v>
      </c>
      <c r="MF19" s="20">
        <f t="shared" si="19"/>
        <v>6240504.4553000005</v>
      </c>
      <c r="MG19" s="20">
        <f t="shared" si="19"/>
        <v>6866701.9210171904</v>
      </c>
      <c r="MH19" s="343">
        <f t="shared" si="20"/>
        <v>9104768.3679658622</v>
      </c>
      <c r="MI19" s="20">
        <f t="shared" si="21"/>
        <v>6641441.6471083947</v>
      </c>
      <c r="MJ19" s="20">
        <f t="shared" si="21"/>
        <v>7347590.0960875181</v>
      </c>
      <c r="MK19" s="343">
        <f t="shared" si="54"/>
        <v>7112971.887448255</v>
      </c>
      <c r="ML19" s="20">
        <f t="shared" si="55"/>
        <v>-400937.19180839416</v>
      </c>
      <c r="MM19" s="20">
        <f t="shared" si="55"/>
        <v>-480888.17507032771</v>
      </c>
      <c r="MN19" s="20">
        <f t="shared" si="55"/>
        <v>1991796.4805176072</v>
      </c>
      <c r="MX19" s="283">
        <f t="shared" si="85"/>
        <v>13</v>
      </c>
      <c r="MY19" s="388" t="s">
        <v>51</v>
      </c>
      <c r="MZ19" s="17">
        <f t="shared" si="115"/>
        <v>3587295.4475783538</v>
      </c>
      <c r="NA19" s="381">
        <f t="shared" si="116"/>
        <v>0.16318212105471561</v>
      </c>
      <c r="NB19" s="97"/>
      <c r="NC19" s="18">
        <f t="shared" si="117"/>
        <v>3587295.4475783538</v>
      </c>
      <c r="ND19" s="381">
        <f t="shared" si="118"/>
        <v>0.16318212105471561</v>
      </c>
      <c r="NH19" s="283">
        <f t="shared" si="86"/>
        <v>13</v>
      </c>
      <c r="NI19" s="388" t="str">
        <f t="shared" si="58"/>
        <v>Vehicle</v>
      </c>
      <c r="NJ19" s="17">
        <v>3646879.9333716799</v>
      </c>
      <c r="NK19" s="17">
        <f t="shared" si="119"/>
        <v>3587295.4475783538</v>
      </c>
      <c r="NL19" s="17">
        <f t="shared" si="77"/>
        <v>-59584.48579332605</v>
      </c>
      <c r="NM19" s="395">
        <f t="shared" si="78"/>
        <v>-1.6338482999696105E-2</v>
      </c>
    </row>
    <row r="20" spans="2:377" x14ac:dyDescent="0.3">
      <c r="B20" s="265">
        <f t="shared" si="79"/>
        <v>15</v>
      </c>
      <c r="C20" s="384"/>
      <c r="D20" s="390" t="s">
        <v>54</v>
      </c>
      <c r="E20" s="286"/>
      <c r="F20" s="18">
        <f>FM36</f>
        <v>10262021.9365</v>
      </c>
      <c r="G20" s="313">
        <f t="shared" si="108"/>
        <v>0.49374890570281921</v>
      </c>
      <c r="H20" s="18">
        <f>FR36</f>
        <v>9669260.545699697</v>
      </c>
      <c r="I20" s="309">
        <f t="shared" si="109"/>
        <v>0.46411085494423426</v>
      </c>
      <c r="J20" s="290">
        <f t="shared" si="59"/>
        <v>-592761.39080030285</v>
      </c>
      <c r="K20" s="18">
        <f>JT26</f>
        <v>9826395.2532786801</v>
      </c>
      <c r="L20" s="309">
        <f t="shared" si="110"/>
        <v>0.46515584067263549</v>
      </c>
      <c r="M20" s="290">
        <f t="shared" si="60"/>
        <v>157134.70757898316</v>
      </c>
      <c r="N20" s="18">
        <f>LX27</f>
        <v>10680439.72837303</v>
      </c>
      <c r="O20" s="309">
        <f t="shared" si="111"/>
        <v>0.48584144633236104</v>
      </c>
      <c r="P20" s="290">
        <f t="shared" si="61"/>
        <v>854044.47509435005</v>
      </c>
      <c r="Q20" s="18">
        <f t="shared" si="62"/>
        <v>418417.79187303036</v>
      </c>
      <c r="R20" s="310">
        <f t="shared" si="63"/>
        <v>-1.6015143080069016E-2</v>
      </c>
      <c r="V20" s="249">
        <f t="shared" si="64"/>
        <v>11</v>
      </c>
      <c r="W20" s="463" t="s">
        <v>134</v>
      </c>
      <c r="X20" s="20">
        <f>X18-X14</f>
        <v>4313339.3311165078</v>
      </c>
      <c r="Y20" s="20">
        <f t="shared" ref="Y20:AA20" si="123">Y18-Y14</f>
        <v>11884715.246839739</v>
      </c>
      <c r="Z20" s="20">
        <f t="shared" si="123"/>
        <v>23201814.602204878</v>
      </c>
      <c r="AA20" s="20">
        <f t="shared" si="123"/>
        <v>39399869.180161126</v>
      </c>
      <c r="AB20" s="20"/>
      <c r="AC20" s="349"/>
      <c r="AF20" s="385">
        <f t="shared" si="80"/>
        <v>14</v>
      </c>
      <c r="AG20" s="388" t="s">
        <v>186</v>
      </c>
      <c r="AH20" s="389">
        <f>AH19*3600/$N$24</f>
        <v>3.0694523728800589</v>
      </c>
      <c r="AI20" s="389">
        <f>AI19*3600/$N$24</f>
        <v>0.19273652493560511</v>
      </c>
      <c r="AJ20" s="389">
        <f>AJ19*3600/$N$24</f>
        <v>0.89641912472511009</v>
      </c>
      <c r="AL20" s="464"/>
      <c r="AN20" s="283">
        <f t="shared" si="121"/>
        <v>15</v>
      </c>
      <c r="AO20" s="284"/>
      <c r="AP20" s="282" t="s">
        <v>238</v>
      </c>
      <c r="AQ20" s="281"/>
      <c r="AR20" s="286"/>
      <c r="AS20" s="392">
        <v>8347158.8556000106</v>
      </c>
      <c r="AT20" s="393">
        <v>0.81397546749984451</v>
      </c>
      <c r="AU20" s="394"/>
      <c r="AV20" s="392">
        <v>7285795.8646500036</v>
      </c>
      <c r="AW20" s="393">
        <v>0.67512429859622292</v>
      </c>
      <c r="AX20" s="383">
        <f t="shared" si="96"/>
        <v>-0.17058397267193814</v>
      </c>
      <c r="AY20" s="394"/>
      <c r="AZ20" s="392">
        <v>9252422.5520105362</v>
      </c>
      <c r="BA20" s="393">
        <v>0.71716600089519644</v>
      </c>
      <c r="BB20" s="383">
        <f t="shared" si="97"/>
        <v>6.2272536163178183E-2</v>
      </c>
      <c r="BC20" s="394"/>
      <c r="BD20" s="392">
        <v>10915527.954034619</v>
      </c>
      <c r="BE20" s="393">
        <v>0.74224448966694945</v>
      </c>
      <c r="BF20" s="383">
        <f t="shared" si="98"/>
        <v>3.4968875742086292E-2</v>
      </c>
      <c r="BG20" s="394"/>
      <c r="BH20" s="392">
        <v>3838414.9907733351</v>
      </c>
      <c r="BI20" s="393">
        <v>0.25258689065096962</v>
      </c>
      <c r="BJ20" s="383">
        <f t="shared" si="99"/>
        <v>-0.65969853038005422</v>
      </c>
      <c r="BK20" s="394"/>
      <c r="BL20" s="392">
        <v>5658223.4029922634</v>
      </c>
      <c r="BM20" s="393">
        <v>0.33637236438364621</v>
      </c>
      <c r="BN20" s="383">
        <f t="shared" si="100"/>
        <v>0.33170951000958038</v>
      </c>
      <c r="BO20" s="394"/>
      <c r="BP20" s="392">
        <v>8558427.9676000625</v>
      </c>
      <c r="BQ20" s="393">
        <v>0.46142281150297859</v>
      </c>
      <c r="BR20" s="383">
        <f t="shared" si="101"/>
        <v>0.37176195300249848</v>
      </c>
      <c r="BS20" s="394"/>
      <c r="BT20" s="97">
        <v>12790093</v>
      </c>
      <c r="BU20" s="97">
        <v>0.65</v>
      </c>
      <c r="BV20" s="97">
        <f t="shared" si="102"/>
        <v>0.40868631501501773</v>
      </c>
      <c r="BW20" s="18">
        <v>16992816.141500026</v>
      </c>
      <c r="BX20" s="19">
        <v>0.87785804171546822</v>
      </c>
      <c r="BY20" s="19">
        <f t="shared" si="65"/>
        <v>0.35055083340841264</v>
      </c>
      <c r="BZ20" s="19">
        <v>13569776.854138836</v>
      </c>
      <c r="CA20" s="19">
        <v>0.66521868747413349</v>
      </c>
      <c r="CB20" s="19">
        <f t="shared" si="66"/>
        <v>-0.24222521653478857</v>
      </c>
      <c r="CC20" s="18">
        <f t="shared" si="122"/>
        <v>5345041.1556581408</v>
      </c>
      <c r="CD20" s="19">
        <f t="shared" si="122"/>
        <v>0.2571723426312264</v>
      </c>
      <c r="CE20" s="395">
        <f t="shared" si="104"/>
        <v>-0.61340180684381873</v>
      </c>
      <c r="CF20" s="396">
        <f>CC20/AS20-1</f>
        <v>-0.35965742977657411</v>
      </c>
      <c r="CG20" s="395">
        <f t="shared" si="105"/>
        <v>-2.4459886578234724E-2</v>
      </c>
      <c r="CX20" s="438"/>
      <c r="CY20" s="439"/>
      <c r="CZ20" s="440"/>
      <c r="DA20" s="518"/>
      <c r="DB20" s="440"/>
      <c r="EO20" s="408"/>
      <c r="FE20" s="408"/>
      <c r="FG20" s="483">
        <f t="shared" si="84"/>
        <v>15</v>
      </c>
      <c r="FH20" s="495"/>
      <c r="FI20" s="496" t="s">
        <v>239</v>
      </c>
      <c r="FJ20" s="28">
        <f>SUM(FJ7:FJ19)</f>
        <v>1380140.4319</v>
      </c>
      <c r="FK20" s="28">
        <f>SUM(FK7:FK19)</f>
        <v>2133149.0299999998</v>
      </c>
      <c r="FL20" s="28">
        <f>SUM(FL7:FL19)</f>
        <v>3585332.5999999996</v>
      </c>
      <c r="FM20" s="497">
        <f t="shared" si="28"/>
        <v>7098622.0618999992</v>
      </c>
      <c r="FN20" s="28">
        <v>1367749.0706878789</v>
      </c>
      <c r="FO20" s="28">
        <v>1957850.02</v>
      </c>
      <c r="FP20" s="28">
        <v>3562684.7899999996</v>
      </c>
      <c r="FQ20" s="28">
        <v>6888283.8806878785</v>
      </c>
      <c r="FR20" s="28">
        <v>6888283.8806878785</v>
      </c>
      <c r="FS20" s="103"/>
      <c r="FT20" s="408"/>
      <c r="GB20" s="355"/>
      <c r="GC20" s="355"/>
      <c r="GD20" s="355"/>
      <c r="GE20" s="355"/>
      <c r="HW20" s="283">
        <v>15</v>
      </c>
      <c r="HX20" s="306">
        <v>15</v>
      </c>
      <c r="HY20" s="306">
        <v>10</v>
      </c>
      <c r="HZ20" s="306">
        <v>10</v>
      </c>
      <c r="IA20" s="307">
        <v>149240972</v>
      </c>
      <c r="IB20" s="307">
        <v>147703472</v>
      </c>
      <c r="IC20" s="309">
        <f t="shared" si="5"/>
        <v>1</v>
      </c>
      <c r="ID20" s="309">
        <f t="shared" si="6"/>
        <v>0.98969786929557124</v>
      </c>
      <c r="IE20" s="310">
        <v>0</v>
      </c>
      <c r="IF20" s="310">
        <v>0.7</v>
      </c>
      <c r="IG20" s="310">
        <v>0.3</v>
      </c>
      <c r="IK20" s="410">
        <v>15</v>
      </c>
      <c r="IL20" s="317">
        <v>15</v>
      </c>
      <c r="IM20" s="313">
        <f t="shared" si="7"/>
        <v>0.98969786929557124</v>
      </c>
      <c r="IN20" s="17">
        <v>41766.03</v>
      </c>
      <c r="IO20" s="290">
        <f>IM20*IN20</f>
        <v>41335.750899934908</v>
      </c>
      <c r="IP20" s="17">
        <v>16519827</v>
      </c>
      <c r="IQ20" s="290">
        <v>16334685</v>
      </c>
      <c r="IR20" s="17">
        <v>7053332.9710000008</v>
      </c>
      <c r="IS20" s="290">
        <v>6877204</v>
      </c>
      <c r="IT20" s="17">
        <v>225000</v>
      </c>
      <c r="IU20" s="17">
        <v>225000</v>
      </c>
      <c r="IV20" s="17">
        <f t="shared" si="30"/>
        <v>7320099.0010000011</v>
      </c>
      <c r="IW20" s="17">
        <f t="shared" si="30"/>
        <v>7143539.7508999351</v>
      </c>
      <c r="IX20" s="314"/>
      <c r="IY20" s="315"/>
      <c r="IZ20" s="314"/>
      <c r="JA20" s="316">
        <v>15</v>
      </c>
      <c r="JB20" s="317">
        <v>15</v>
      </c>
      <c r="JC20" s="318">
        <f t="shared" si="8"/>
        <v>1</v>
      </c>
      <c r="JD20" s="319">
        <f t="shared" si="8"/>
        <v>0.98969786929557124</v>
      </c>
      <c r="JE20" s="17">
        <v>2666481.7718156227</v>
      </c>
      <c r="JF20" s="290">
        <f t="shared" si="70"/>
        <v>2639011.3280814015</v>
      </c>
      <c r="JG20" s="17">
        <v>12386.502</v>
      </c>
      <c r="JH20" s="290">
        <f t="shared" si="31"/>
        <v>12258.894637425332</v>
      </c>
      <c r="JI20" s="17">
        <v>1393972.8261843773</v>
      </c>
      <c r="JJ20" s="290">
        <f t="shared" si="32"/>
        <v>1393972.8261843773</v>
      </c>
      <c r="JK20" s="17">
        <v>1404302.105180813</v>
      </c>
      <c r="JL20" s="290">
        <v>1404302.105180813</v>
      </c>
      <c r="JM20" s="17">
        <v>114885.56999999998</v>
      </c>
      <c r="JN20" s="290">
        <f t="shared" si="33"/>
        <v>113702.00384180718</v>
      </c>
      <c r="JO20" s="17">
        <v>58294.29</v>
      </c>
      <c r="JP20" s="290">
        <f t="shared" si="34"/>
        <v>57693.734605098129</v>
      </c>
      <c r="JQ20" s="17">
        <v>404259.63</v>
      </c>
      <c r="JR20" s="290">
        <f t="shared" si="35"/>
        <v>400094.89445321599</v>
      </c>
      <c r="JS20" s="17">
        <v>619509.42179999989</v>
      </c>
      <c r="JT20" s="290">
        <f t="shared" si="36"/>
        <v>613127.15476399125</v>
      </c>
      <c r="JU20" s="17">
        <f t="shared" si="37"/>
        <v>6674092.1169808125</v>
      </c>
      <c r="JV20" s="17">
        <f t="shared" si="37"/>
        <v>6634162.9417481301</v>
      </c>
      <c r="JW20" s="320">
        <f t="shared" si="9"/>
        <v>4.4915416353571764</v>
      </c>
      <c r="KA20" s="283">
        <v>15</v>
      </c>
      <c r="KB20" s="306">
        <v>15</v>
      </c>
      <c r="KC20" s="97">
        <f t="shared" si="10"/>
        <v>10</v>
      </c>
      <c r="KD20" s="390">
        <f>KC20</f>
        <v>10</v>
      </c>
      <c r="KE20" s="289">
        <f t="shared" si="12"/>
        <v>147703472</v>
      </c>
      <c r="KF20" s="289">
        <f t="shared" si="13"/>
        <v>153705541.83149567</v>
      </c>
      <c r="KG20" s="321">
        <f t="shared" si="38"/>
        <v>1</v>
      </c>
      <c r="KH20" s="321">
        <f t="shared" si="39"/>
        <v>1.0406359427454466</v>
      </c>
      <c r="KI20" s="321">
        <f t="shared" si="40"/>
        <v>0.96673769037976132</v>
      </c>
      <c r="KJ20" s="306" t="s">
        <v>256</v>
      </c>
      <c r="KK20" s="322"/>
      <c r="KL20" s="323"/>
      <c r="KM20" s="322"/>
      <c r="KN20" s="283">
        <v>15</v>
      </c>
      <c r="KO20" s="306">
        <v>15</v>
      </c>
      <c r="KP20" s="324" t="str">
        <f t="shared" si="14"/>
        <v>Q3</v>
      </c>
      <c r="KQ20" s="325">
        <f t="shared" si="15"/>
        <v>0.96673769037976132</v>
      </c>
      <c r="KR20" s="17">
        <f t="shared" si="41"/>
        <v>41335.750899934908</v>
      </c>
      <c r="KS20" s="17">
        <f t="shared" si="42"/>
        <v>39960.828355116217</v>
      </c>
      <c r="KT20" s="17">
        <f t="shared" si="16"/>
        <v>16334685</v>
      </c>
      <c r="KU20" s="17">
        <f t="shared" si="43"/>
        <v>16771202.654658146</v>
      </c>
      <c r="KV20" s="17">
        <f t="shared" si="17"/>
        <v>6877204</v>
      </c>
      <c r="KW20" s="17">
        <f t="shared" si="18"/>
        <v>9206513.6743502282</v>
      </c>
      <c r="KX20" s="17">
        <f t="shared" si="44"/>
        <v>225000</v>
      </c>
      <c r="KY20" s="17">
        <f t="shared" si="45"/>
        <v>332739.29523731803</v>
      </c>
      <c r="KZ20" s="17">
        <f t="shared" si="46"/>
        <v>7143539.7508999351</v>
      </c>
      <c r="LA20" s="17">
        <f t="shared" si="46"/>
        <v>9579213.7979426626</v>
      </c>
      <c r="LB20" s="326"/>
      <c r="LC20" s="323"/>
      <c r="LD20" s="322"/>
      <c r="LE20" s="364">
        <f t="shared" si="71"/>
        <v>15</v>
      </c>
      <c r="LF20" s="365">
        <v>14</v>
      </c>
      <c r="LG20" s="411">
        <f t="shared" si="72"/>
        <v>1</v>
      </c>
      <c r="LH20" s="411">
        <f t="shared" si="72"/>
        <v>1.0406359427454466</v>
      </c>
      <c r="LI20" s="412">
        <v>106.45762205358784</v>
      </c>
      <c r="LJ20" s="343">
        <f t="shared" si="73"/>
        <v>2994329.3196089002</v>
      </c>
      <c r="LK20" s="412">
        <v>106.45762205358784</v>
      </c>
      <c r="LL20" s="343">
        <f t="shared" si="47"/>
        <v>73556.170029625689</v>
      </c>
      <c r="LM20" s="412">
        <v>106.45762205358784</v>
      </c>
      <c r="LN20" s="343">
        <f t="shared" si="48"/>
        <v>1014636.7710911277</v>
      </c>
      <c r="LO20" s="412">
        <v>118.614283549666</v>
      </c>
      <c r="LP20" s="343">
        <f t="shared" si="74"/>
        <v>1625085.1935854214</v>
      </c>
      <c r="LQ20" s="412">
        <v>119.48337591187899</v>
      </c>
      <c r="LR20" s="343">
        <f t="shared" si="49"/>
        <v>171763.60429682073</v>
      </c>
      <c r="LS20" s="412">
        <v>157.07111615098</v>
      </c>
      <c r="LT20" s="343">
        <f t="shared" si="50"/>
        <v>75181.752915921636</v>
      </c>
      <c r="LU20" s="412">
        <v>112.15574935818501</v>
      </c>
      <c r="LV20" s="343">
        <f t="shared" si="51"/>
        <v>459553.82359858439</v>
      </c>
      <c r="LW20" s="412">
        <v>116.939890710382</v>
      </c>
      <c r="LX20" s="343">
        <f t="shared" si="52"/>
        <v>698865.25232185249</v>
      </c>
      <c r="LY20" s="20">
        <f t="shared" si="53"/>
        <v>7347590.0960875181</v>
      </c>
      <c r="LZ20" s="20">
        <f t="shared" si="75"/>
        <v>7112971.887448255</v>
      </c>
      <c r="MA20" s="103"/>
      <c r="MB20" s="335"/>
      <c r="MD20" s="283">
        <v>15</v>
      </c>
      <c r="ME20" s="336">
        <v>15</v>
      </c>
      <c r="MF20" s="17">
        <f t="shared" si="19"/>
        <v>7320099.0010000011</v>
      </c>
      <c r="MG20" s="17">
        <f t="shared" si="19"/>
        <v>7143539.7508999351</v>
      </c>
      <c r="MH20" s="290">
        <f t="shared" si="20"/>
        <v>9579213.7979426626</v>
      </c>
      <c r="MI20" s="17">
        <f t="shared" si="21"/>
        <v>6674092.1169808125</v>
      </c>
      <c r="MJ20" s="17">
        <f t="shared" si="21"/>
        <v>6634162.9417481301</v>
      </c>
      <c r="MK20" s="290">
        <f t="shared" si="54"/>
        <v>6413495.3599085901</v>
      </c>
      <c r="ML20" s="17">
        <f t="shared" si="55"/>
        <v>646006.88401918858</v>
      </c>
      <c r="MM20" s="17">
        <f t="shared" si="55"/>
        <v>509376.80915180501</v>
      </c>
      <c r="MN20" s="17">
        <f t="shared" si="55"/>
        <v>3165718.4380340725</v>
      </c>
      <c r="MX20" s="446">
        <f t="shared" si="85"/>
        <v>14</v>
      </c>
      <c r="MY20" s="418" t="s">
        <v>54</v>
      </c>
      <c r="MZ20" s="24">
        <f t="shared" si="115"/>
        <v>10680439.72837303</v>
      </c>
      <c r="NA20" s="472">
        <f t="shared" si="116"/>
        <v>0.48584144633236104</v>
      </c>
      <c r="NB20" s="453"/>
      <c r="NC20" s="22">
        <f t="shared" si="117"/>
        <v>10680439.72837303</v>
      </c>
      <c r="ND20" s="472">
        <f t="shared" si="118"/>
        <v>0.48584144633236104</v>
      </c>
      <c r="NH20" s="446">
        <f t="shared" si="86"/>
        <v>14</v>
      </c>
      <c r="NI20" s="418" t="str">
        <f t="shared" si="58"/>
        <v>Overhead</v>
      </c>
      <c r="NJ20" s="24">
        <v>11416166.846978595</v>
      </c>
      <c r="NK20" s="24">
        <f t="shared" si="119"/>
        <v>10680439.72837303</v>
      </c>
      <c r="NL20" s="24">
        <f t="shared" si="77"/>
        <v>-735727.11860556528</v>
      </c>
      <c r="NM20" s="473">
        <f t="shared" si="78"/>
        <v>-6.4446072702614973E-2</v>
      </c>
    </row>
    <row r="21" spans="2:377" ht="17.25" thickBot="1" x14ac:dyDescent="0.35">
      <c r="B21" s="226">
        <f t="shared" si="79"/>
        <v>16</v>
      </c>
      <c r="C21" s="474" t="s">
        <v>240</v>
      </c>
      <c r="D21" s="474"/>
      <c r="E21" s="476"/>
      <c r="F21" s="498">
        <f>SUM(F14:F20)</f>
        <v>99050498.270499989</v>
      </c>
      <c r="G21" s="499">
        <f t="shared" si="108"/>
        <v>4.7657348067469085</v>
      </c>
      <c r="H21" s="498">
        <f>SUM(H14:H20)</f>
        <v>94716912.471479237</v>
      </c>
      <c r="I21" s="500">
        <f t="shared" si="109"/>
        <v>4.5462780754591217</v>
      </c>
      <c r="J21" s="501">
        <f t="shared" si="59"/>
        <v>-4333585.7990207523</v>
      </c>
      <c r="K21" s="498">
        <f>SUM(K14:K20)</f>
        <v>96946557.618657649</v>
      </c>
      <c r="L21" s="500">
        <f t="shared" si="110"/>
        <v>4.5891963784357532</v>
      </c>
      <c r="M21" s="501">
        <f t="shared" si="60"/>
        <v>2229645.1471784115</v>
      </c>
      <c r="N21" s="498">
        <f>SUM(N14:N20)</f>
        <v>94256584.79958266</v>
      </c>
      <c r="O21" s="500">
        <f t="shared" si="111"/>
        <v>4.2876282859145842</v>
      </c>
      <c r="P21" s="501">
        <f t="shared" si="61"/>
        <v>-2689972.8190749884</v>
      </c>
      <c r="Q21" s="498">
        <f t="shared" si="62"/>
        <v>-4793913.4709173292</v>
      </c>
      <c r="R21" s="502">
        <f t="shared" si="63"/>
        <v>-0.10032167970308858</v>
      </c>
      <c r="V21" s="275"/>
      <c r="W21" s="276" t="s">
        <v>29</v>
      </c>
      <c r="X21" s="415"/>
      <c r="Y21" s="416"/>
      <c r="Z21" s="416"/>
      <c r="AA21" s="416"/>
      <c r="AB21" s="279"/>
      <c r="AC21" s="351"/>
      <c r="AF21" s="503">
        <f t="shared" si="80"/>
        <v>15</v>
      </c>
      <c r="AG21" s="504" t="s">
        <v>195</v>
      </c>
      <c r="AH21" s="505">
        <f>LJ27/AH19</f>
        <v>18.126229971500365</v>
      </c>
      <c r="AI21" s="505">
        <f>LL27/AI19</f>
        <v>17.291242088657373</v>
      </c>
      <c r="AJ21" s="505">
        <f>LN27/AJ19</f>
        <v>28.701600342097091</v>
      </c>
      <c r="AL21" s="464"/>
      <c r="AN21" s="977" t="s">
        <v>241</v>
      </c>
      <c r="AO21" s="977"/>
      <c r="AP21" s="977"/>
      <c r="AQ21" s="977"/>
      <c r="AR21" s="977"/>
      <c r="AS21" s="977"/>
      <c r="AT21" s="977"/>
      <c r="AU21" s="977"/>
      <c r="AV21" s="977"/>
      <c r="AW21" s="977"/>
      <c r="AX21" s="977"/>
      <c r="AY21" s="977"/>
      <c r="AZ21" s="977"/>
      <c r="BA21" s="977"/>
      <c r="BB21" s="977"/>
      <c r="BC21" s="977"/>
      <c r="BD21" s="977"/>
      <c r="BE21" s="977"/>
      <c r="BF21" s="977"/>
      <c r="BG21" s="977"/>
      <c r="BH21" s="977"/>
      <c r="BI21" s="977"/>
      <c r="BJ21" s="977"/>
      <c r="BK21" s="977"/>
      <c r="BL21" s="977"/>
      <c r="BM21" s="977"/>
      <c r="BN21" s="977"/>
      <c r="BO21" s="977"/>
      <c r="BP21" s="977"/>
      <c r="BQ21" s="977"/>
      <c r="BR21" s="977"/>
      <c r="BS21" s="977"/>
      <c r="BT21" s="977"/>
      <c r="BU21" s="977"/>
      <c r="BV21" s="977"/>
      <c r="BW21" s="977"/>
      <c r="BX21" s="977"/>
      <c r="BY21" s="977"/>
      <c r="BZ21" s="977"/>
      <c r="CA21" s="977"/>
      <c r="CB21" s="977"/>
      <c r="CC21" s="977"/>
      <c r="CD21" s="977"/>
      <c r="CE21" s="977"/>
      <c r="CF21" s="977"/>
      <c r="CG21" s="977"/>
      <c r="CX21" s="438"/>
      <c r="CY21" s="91"/>
      <c r="CZ21" s="506"/>
      <c r="DA21" s="518"/>
      <c r="DB21" s="506"/>
      <c r="EO21" s="408"/>
      <c r="FE21" s="408"/>
      <c r="FG21" s="338">
        <f t="shared" si="84"/>
        <v>16</v>
      </c>
      <c r="FH21" s="474" t="s">
        <v>242</v>
      </c>
      <c r="FI21" s="476"/>
      <c r="FJ21" s="507"/>
      <c r="FK21" s="507"/>
      <c r="FL21" s="507"/>
      <c r="FM21" s="508"/>
      <c r="FN21" s="507"/>
      <c r="FO21" s="507"/>
      <c r="FP21" s="507"/>
      <c r="FQ21" s="507"/>
      <c r="FR21" s="507"/>
      <c r="FS21" s="103"/>
      <c r="FT21" s="408"/>
      <c r="HW21" s="338">
        <v>16</v>
      </c>
      <c r="HX21" s="322">
        <v>16</v>
      </c>
      <c r="HY21" s="322">
        <v>11</v>
      </c>
      <c r="HZ21" s="322">
        <v>11</v>
      </c>
      <c r="IA21" s="347">
        <v>176731631</v>
      </c>
      <c r="IB21" s="347">
        <v>176378863</v>
      </c>
      <c r="IC21" s="342">
        <f t="shared" si="5"/>
        <v>1</v>
      </c>
      <c r="ID21" s="342">
        <f t="shared" si="6"/>
        <v>0.99800393399866261</v>
      </c>
      <c r="IE21" s="344">
        <v>0</v>
      </c>
      <c r="IF21" s="344">
        <v>0.27272727272727271</v>
      </c>
      <c r="IG21" s="344">
        <v>0.72727272727272729</v>
      </c>
      <c r="IK21" s="364">
        <v>16</v>
      </c>
      <c r="IL21" s="365">
        <v>16</v>
      </c>
      <c r="IM21" s="341">
        <f t="shared" si="7"/>
        <v>0.99800393399866261</v>
      </c>
      <c r="IN21" s="20">
        <v>37428.76</v>
      </c>
      <c r="IO21" s="343">
        <f t="shared" si="29"/>
        <v>37354.049724691788</v>
      </c>
      <c r="IP21" s="20">
        <v>19638600</v>
      </c>
      <c r="IQ21" s="343">
        <v>19576608</v>
      </c>
      <c r="IR21" s="20">
        <v>8489478.1173999999</v>
      </c>
      <c r="IS21" s="343">
        <v>7937779</v>
      </c>
      <c r="IT21" s="20">
        <v>247500</v>
      </c>
      <c r="IU21" s="20">
        <v>247500</v>
      </c>
      <c r="IV21" s="20">
        <f t="shared" si="30"/>
        <v>8774406.8773999996</v>
      </c>
      <c r="IW21" s="20">
        <f t="shared" si="30"/>
        <v>8222633.0497246915</v>
      </c>
      <c r="IX21" s="314"/>
      <c r="IY21" s="315"/>
      <c r="IZ21" s="314"/>
      <c r="JA21" s="366">
        <v>16</v>
      </c>
      <c r="JB21" s="365">
        <v>16</v>
      </c>
      <c r="JC21" s="367">
        <f t="shared" si="8"/>
        <v>1</v>
      </c>
      <c r="JD21" s="368">
        <f t="shared" si="8"/>
        <v>0.99800393399866261</v>
      </c>
      <c r="JE21" s="20">
        <v>2972031.7157168714</v>
      </c>
      <c r="JF21" s="343">
        <f t="shared" si="70"/>
        <v>2966099.3442542325</v>
      </c>
      <c r="JG21" s="20">
        <v>123156.16099999999</v>
      </c>
      <c r="JH21" s="343">
        <f t="shared" si="31"/>
        <v>122910.33317417266</v>
      </c>
      <c r="JI21" s="20">
        <v>1606050.4232831288</v>
      </c>
      <c r="JJ21" s="343">
        <f t="shared" si="32"/>
        <v>1606050.4232831288</v>
      </c>
      <c r="JK21" s="20">
        <v>1758443.1926842947</v>
      </c>
      <c r="JL21" s="343">
        <v>1758443.1926842947</v>
      </c>
      <c r="JM21" s="20">
        <v>110720.24800000001</v>
      </c>
      <c r="JN21" s="343">
        <f t="shared" si="33"/>
        <v>110499.24307730756</v>
      </c>
      <c r="JO21" s="20">
        <v>56992.322</v>
      </c>
      <c r="JP21" s="343">
        <f t="shared" si="34"/>
        <v>56878.561563718526</v>
      </c>
      <c r="JQ21" s="20">
        <v>523193.18</v>
      </c>
      <c r="JR21" s="343">
        <f t="shared" si="35"/>
        <v>522148.85188127041</v>
      </c>
      <c r="JS21" s="20">
        <v>717971.55015000002</v>
      </c>
      <c r="JT21" s="343">
        <f t="shared" si="36"/>
        <v>716538.43154881813</v>
      </c>
      <c r="JU21" s="20">
        <f t="shared" si="37"/>
        <v>7868558.792834294</v>
      </c>
      <c r="JV21" s="20">
        <f t="shared" si="37"/>
        <v>7859568.3814669428</v>
      </c>
      <c r="JW21" s="369">
        <f t="shared" si="9"/>
        <v>4.4560715767098147</v>
      </c>
      <c r="KA21" s="338">
        <v>16</v>
      </c>
      <c r="KB21" s="322">
        <v>16</v>
      </c>
      <c r="KC21" s="518">
        <f t="shared" si="10"/>
        <v>11</v>
      </c>
      <c r="KD21" s="96">
        <f>KC21</f>
        <v>11</v>
      </c>
      <c r="KE21" s="370">
        <f t="shared" si="12"/>
        <v>176378863</v>
      </c>
      <c r="KF21" s="370">
        <f t="shared" si="13"/>
        <v>183546184.37837496</v>
      </c>
      <c r="KG21" s="371">
        <f t="shared" si="38"/>
        <v>1</v>
      </c>
      <c r="KH21" s="371">
        <f t="shared" si="39"/>
        <v>1.0406359427454466</v>
      </c>
      <c r="KI21" s="371">
        <f t="shared" si="40"/>
        <v>0.93718048158162193</v>
      </c>
      <c r="KJ21" s="322" t="s">
        <v>441</v>
      </c>
      <c r="KK21" s="322"/>
      <c r="KL21" s="323"/>
      <c r="KM21" s="322"/>
      <c r="KN21" s="338">
        <v>16</v>
      </c>
      <c r="KO21" s="322">
        <v>16</v>
      </c>
      <c r="KP21" s="437" t="str">
        <f t="shared" si="14"/>
        <v>Q2</v>
      </c>
      <c r="KQ21" s="373">
        <f t="shared" si="15"/>
        <v>0.93718048158162193</v>
      </c>
      <c r="KR21" s="358">
        <f t="shared" si="41"/>
        <v>37354.049724691788</v>
      </c>
      <c r="KS21" s="358">
        <f t="shared" si="42"/>
        <v>35007.486310010499</v>
      </c>
      <c r="KT21" s="358">
        <f t="shared" si="16"/>
        <v>19576608</v>
      </c>
      <c r="KU21" s="358">
        <f t="shared" si="43"/>
        <v>20027191.069490805</v>
      </c>
      <c r="KV21" s="358">
        <f t="shared" si="17"/>
        <v>7937779</v>
      </c>
      <c r="KW21" s="358">
        <f t="shared" si="18"/>
        <v>10993881.132840568</v>
      </c>
      <c r="KX21" s="358">
        <f t="shared" si="44"/>
        <v>247500</v>
      </c>
      <c r="KY21" s="358">
        <f t="shared" si="45"/>
        <v>397337.84030059539</v>
      </c>
      <c r="KZ21" s="358">
        <f t="shared" si="46"/>
        <v>8222633.0497246915</v>
      </c>
      <c r="LA21" s="358">
        <f t="shared" si="46"/>
        <v>11426226.459451174</v>
      </c>
      <c r="LB21" s="326"/>
      <c r="LC21" s="323"/>
      <c r="LD21" s="322"/>
      <c r="LE21" s="374">
        <f t="shared" si="71"/>
        <v>16</v>
      </c>
      <c r="LF21" s="375">
        <v>15</v>
      </c>
      <c r="LG21" s="376">
        <f t="shared" si="72"/>
        <v>1</v>
      </c>
      <c r="LH21" s="376">
        <f t="shared" si="72"/>
        <v>1.0406359427454466</v>
      </c>
      <c r="LI21" s="377">
        <v>106.45762205358784</v>
      </c>
      <c r="LJ21" s="290">
        <f t="shared" si="73"/>
        <v>2422225.2372692591</v>
      </c>
      <c r="LK21" s="377">
        <v>106.45762205358784</v>
      </c>
      <c r="LL21" s="290">
        <f t="shared" si="47"/>
        <v>11251.866809296433</v>
      </c>
      <c r="LM21" s="377">
        <v>106.45762205358784</v>
      </c>
      <c r="LN21" s="290">
        <f t="shared" si="48"/>
        <v>1229500.631353986</v>
      </c>
      <c r="LO21" s="377">
        <v>118.614283549666</v>
      </c>
      <c r="LP21" s="290">
        <f t="shared" si="74"/>
        <v>1468932.6274243365</v>
      </c>
      <c r="LQ21" s="377">
        <v>119.48337591187899</v>
      </c>
      <c r="LR21" s="290">
        <f t="shared" si="49"/>
        <v>123704.72283996225</v>
      </c>
      <c r="LS21" s="377">
        <v>157.07111615098</v>
      </c>
      <c r="LT21" s="290">
        <f t="shared" si="50"/>
        <v>54588.768772994976</v>
      </c>
      <c r="LU21" s="377">
        <v>112.15574935818501</v>
      </c>
      <c r="LV21" s="290">
        <f t="shared" si="51"/>
        <v>437705.49733110965</v>
      </c>
      <c r="LW21" s="377">
        <v>116.939890710382</v>
      </c>
      <c r="LX21" s="378">
        <f t="shared" si="52"/>
        <v>665586.00810764474</v>
      </c>
      <c r="LY21" s="379">
        <f t="shared" si="53"/>
        <v>6634162.9417481301</v>
      </c>
      <c r="LZ21" s="379">
        <f t="shared" si="75"/>
        <v>6413495.3599085901</v>
      </c>
      <c r="MA21" s="103"/>
      <c r="MB21" s="335"/>
      <c r="MD21" s="338">
        <v>16</v>
      </c>
      <c r="ME21" s="380">
        <v>16</v>
      </c>
      <c r="MF21" s="20">
        <f t="shared" si="19"/>
        <v>8774406.8773999996</v>
      </c>
      <c r="MG21" s="20">
        <f t="shared" si="19"/>
        <v>8222633.0497246915</v>
      </c>
      <c r="MH21" s="343">
        <f t="shared" si="20"/>
        <v>11426226.459451174</v>
      </c>
      <c r="MI21" s="20">
        <f t="shared" si="21"/>
        <v>7868558.792834294</v>
      </c>
      <c r="MJ21" s="20">
        <f t="shared" si="21"/>
        <v>7859568.3814669428</v>
      </c>
      <c r="MK21" s="343">
        <f t="shared" si="54"/>
        <v>7365834.0807668781</v>
      </c>
      <c r="ML21" s="20">
        <f t="shared" si="55"/>
        <v>905848.08456570562</v>
      </c>
      <c r="MM21" s="20">
        <f t="shared" si="55"/>
        <v>363064.66825774871</v>
      </c>
      <c r="MN21" s="20">
        <f t="shared" si="55"/>
        <v>4060392.3786842963</v>
      </c>
      <c r="MX21" s="283">
        <f t="shared" si="85"/>
        <v>15</v>
      </c>
      <c r="MY21" s="285" t="s">
        <v>60</v>
      </c>
      <c r="MZ21" s="28">
        <f t="shared" si="115"/>
        <v>94256584.79958266</v>
      </c>
      <c r="NA21" s="509">
        <f t="shared" si="116"/>
        <v>4.2876282859145842</v>
      </c>
      <c r="NB21" s="285"/>
      <c r="NC21" s="510">
        <f>SUM(NC14:NC20)</f>
        <v>94256584.79958266</v>
      </c>
      <c r="ND21" s="509">
        <f t="shared" si="118"/>
        <v>4.2876282859145842</v>
      </c>
      <c r="NH21" s="283">
        <f t="shared" si="86"/>
        <v>15</v>
      </c>
      <c r="NI21" s="285" t="str">
        <f t="shared" si="58"/>
        <v>Total Operating Expenses</v>
      </c>
      <c r="NJ21" s="28">
        <v>117795882.44673061</v>
      </c>
      <c r="NK21" s="511">
        <f t="shared" si="119"/>
        <v>94256584.79958266</v>
      </c>
      <c r="NL21" s="511">
        <f t="shared" si="77"/>
        <v>-23539297.647147954</v>
      </c>
      <c r="NM21" s="466">
        <f t="shared" si="78"/>
        <v>-0.19983124331865201</v>
      </c>
    </row>
    <row r="22" spans="2:377" x14ac:dyDescent="0.3">
      <c r="B22" s="265">
        <f t="shared" si="79"/>
        <v>17</v>
      </c>
      <c r="C22" s="285" t="s">
        <v>238</v>
      </c>
      <c r="D22" s="285"/>
      <c r="E22" s="297"/>
      <c r="F22" s="510">
        <f>F12-F21</f>
        <v>5345041.1556581408</v>
      </c>
      <c r="G22" s="512">
        <f t="shared" si="108"/>
        <v>0.2571723426312264</v>
      </c>
      <c r="H22" s="510">
        <f>H12-H21</f>
        <v>3158874.550727129</v>
      </c>
      <c r="I22" s="513">
        <f t="shared" si="109"/>
        <v>0.15162151867461782</v>
      </c>
      <c r="J22" s="497">
        <f t="shared" si="59"/>
        <v>-2186166.6049310118</v>
      </c>
      <c r="K22" s="510">
        <f>K12-K21</f>
        <v>2982698.3570908159</v>
      </c>
      <c r="L22" s="513">
        <f t="shared" si="110"/>
        <v>0.14119313603862413</v>
      </c>
      <c r="M22" s="497">
        <f t="shared" si="60"/>
        <v>-176176.19363631308</v>
      </c>
      <c r="N22" s="510">
        <f>N12-N21</f>
        <v>42382567.53725192</v>
      </c>
      <c r="O22" s="513">
        <f t="shared" si="111"/>
        <v>1.9279363430024374</v>
      </c>
      <c r="P22" s="497">
        <f t="shared" si="61"/>
        <v>39399869.180161104</v>
      </c>
      <c r="Q22" s="510">
        <f t="shared" si="62"/>
        <v>37037526.381593779</v>
      </c>
      <c r="R22" s="514">
        <f t="shared" si="63"/>
        <v>6.4966706111434833</v>
      </c>
      <c r="V22" s="515">
        <v>11</v>
      </c>
      <c r="W22" s="516" t="s">
        <v>243</v>
      </c>
      <c r="X22" s="20">
        <f>X18-X7</f>
        <v>2571910.9208352962</v>
      </c>
      <c r="Y22" s="20">
        <f>Y18-Y7</f>
        <v>11211691.490005685</v>
      </c>
      <c r="Z22" s="20">
        <f>Z18-Z7</f>
        <v>23253923.970752887</v>
      </c>
      <c r="AA22" s="20">
        <f>AA18-AA7</f>
        <v>37037526.381593868</v>
      </c>
      <c r="AB22" s="20"/>
      <c r="AL22" s="464"/>
      <c r="AN22" s="338">
        <v>18</v>
      </c>
      <c r="AO22" s="492"/>
      <c r="AP22" s="493" t="s">
        <v>244</v>
      </c>
      <c r="AQ22" s="475"/>
      <c r="AR22" s="352"/>
      <c r="AS22" s="517"/>
      <c r="AT22" s="349">
        <v>1025480397</v>
      </c>
      <c r="AU22" s="351"/>
      <c r="AV22" s="517"/>
      <c r="AW22" s="349">
        <v>1079178438.6666701</v>
      </c>
      <c r="AX22" s="351"/>
      <c r="AY22" s="350"/>
      <c r="AZ22" s="517"/>
      <c r="BA22" s="349">
        <v>1290136807.9999998</v>
      </c>
      <c r="BB22" s="351"/>
      <c r="BC22" s="350"/>
      <c r="BD22" s="517"/>
      <c r="BE22" s="349">
        <v>1470610844</v>
      </c>
      <c r="BF22" s="351"/>
      <c r="BG22" s="350"/>
      <c r="BH22" s="517"/>
      <c r="BI22" s="349">
        <v>1519641411.6666667</v>
      </c>
      <c r="BJ22" s="351"/>
      <c r="BK22" s="350"/>
      <c r="BL22" s="517"/>
      <c r="BM22" s="349">
        <v>1682130877</v>
      </c>
      <c r="BN22" s="351"/>
      <c r="BO22" s="350"/>
      <c r="BP22" s="517"/>
      <c r="BQ22" s="349">
        <v>1854790824</v>
      </c>
      <c r="BR22" s="351"/>
      <c r="BS22" s="350"/>
      <c r="BT22" s="959">
        <v>1962055288</v>
      </c>
      <c r="BU22" s="959"/>
      <c r="BV22" s="960"/>
      <c r="BW22" s="519"/>
      <c r="BZ22" s="520"/>
      <c r="CA22" s="352"/>
      <c r="CC22" s="521">
        <f>F24</f>
        <v>2078388796</v>
      </c>
      <c r="CD22" s="16"/>
      <c r="CE22" s="352"/>
      <c r="CF22" s="520">
        <f>CC22/AT22-1</f>
        <v>1.0267464907961572</v>
      </c>
      <c r="CG22" s="352">
        <f t="shared" si="105"/>
        <v>4.0026517835208386E-2</v>
      </c>
      <c r="CZ22" s="347"/>
      <c r="DB22" s="347"/>
      <c r="DC22" s="103"/>
      <c r="DD22" s="103"/>
      <c r="EO22" s="106"/>
      <c r="FE22" s="106"/>
      <c r="FG22" s="338">
        <f>FG21+1</f>
        <v>17</v>
      </c>
      <c r="FH22" s="97"/>
      <c r="FI22" s="286" t="s">
        <v>245</v>
      </c>
      <c r="FJ22" s="17">
        <v>400</v>
      </c>
      <c r="FK22" s="17">
        <v>2406.81</v>
      </c>
      <c r="FL22" s="17">
        <v>2800</v>
      </c>
      <c r="FM22" s="290">
        <f>FJ22+FL22+FK22</f>
        <v>5606.8099999999995</v>
      </c>
      <c r="FN22" s="17">
        <v>0</v>
      </c>
      <c r="FO22" s="17">
        <v>0</v>
      </c>
      <c r="FP22" s="17">
        <v>0</v>
      </c>
      <c r="FQ22" s="17">
        <v>0</v>
      </c>
      <c r="FR22" s="17">
        <v>0</v>
      </c>
      <c r="FS22" s="103"/>
      <c r="FT22" s="408"/>
      <c r="HW22" s="283">
        <v>17</v>
      </c>
      <c r="HX22" s="306">
        <v>17</v>
      </c>
      <c r="HY22" s="306">
        <v>10</v>
      </c>
      <c r="HZ22" s="306">
        <v>10</v>
      </c>
      <c r="IA22" s="307">
        <v>183774613</v>
      </c>
      <c r="IB22" s="307">
        <v>183737150</v>
      </c>
      <c r="IC22" s="309">
        <f t="shared" si="5"/>
        <v>1</v>
      </c>
      <c r="ID22" s="309">
        <f t="shared" si="6"/>
        <v>0.99979614703364927</v>
      </c>
      <c r="IE22" s="310">
        <v>0</v>
      </c>
      <c r="IF22" s="310">
        <v>0.2</v>
      </c>
      <c r="IG22" s="310">
        <v>0.8</v>
      </c>
      <c r="IK22" s="410">
        <v>17</v>
      </c>
      <c r="IL22" s="317">
        <v>17</v>
      </c>
      <c r="IM22" s="313">
        <f t="shared" si="7"/>
        <v>0.99979614703364927</v>
      </c>
      <c r="IN22" s="17">
        <v>7831.14</v>
      </c>
      <c r="IO22" s="290">
        <f t="shared" si="29"/>
        <v>7829.5435988810923</v>
      </c>
      <c r="IP22" s="17">
        <v>20395998</v>
      </c>
      <c r="IQ22" s="290">
        <v>20373895</v>
      </c>
      <c r="IR22" s="17">
        <v>8616753.1788999997</v>
      </c>
      <c r="IS22" s="290">
        <v>8578324</v>
      </c>
      <c r="IT22" s="17">
        <v>225000</v>
      </c>
      <c r="IU22" s="17">
        <v>225000</v>
      </c>
      <c r="IV22" s="17">
        <f t="shared" si="30"/>
        <v>8849584.3189000003</v>
      </c>
      <c r="IW22" s="17">
        <f t="shared" si="30"/>
        <v>8811153.543598881</v>
      </c>
      <c r="IX22" s="314"/>
      <c r="IY22" s="315"/>
      <c r="IZ22" s="314"/>
      <c r="JA22" s="316">
        <v>17</v>
      </c>
      <c r="JB22" s="317">
        <v>17</v>
      </c>
      <c r="JC22" s="318">
        <f t="shared" si="8"/>
        <v>1</v>
      </c>
      <c r="JD22" s="319">
        <f t="shared" si="8"/>
        <v>0.99979614703364927</v>
      </c>
      <c r="JE22" s="17">
        <v>3071493.5962138455</v>
      </c>
      <c r="JF22" s="290">
        <f t="shared" si="70"/>
        <v>3070867.4631331302</v>
      </c>
      <c r="JG22" s="17">
        <v>140453.43700000003</v>
      </c>
      <c r="JH22" s="290">
        <f t="shared" si="31"/>
        <v>140424.80515023344</v>
      </c>
      <c r="JI22" s="17">
        <v>1584888.0867861542</v>
      </c>
      <c r="JJ22" s="290">
        <f t="shared" si="32"/>
        <v>1584888.0867861542</v>
      </c>
      <c r="JK22" s="17">
        <v>1875089.1032839823</v>
      </c>
      <c r="JL22" s="290">
        <v>1875089.1032839823</v>
      </c>
      <c r="JM22" s="17">
        <v>122276.40949999998</v>
      </c>
      <c r="JN22" s="290">
        <f t="shared" si="33"/>
        <v>122251.48309120869</v>
      </c>
      <c r="JO22" s="17">
        <v>66937.261999999988</v>
      </c>
      <c r="JP22" s="290">
        <f t="shared" si="34"/>
        <v>66923.616640581895</v>
      </c>
      <c r="JQ22" s="17">
        <v>216514.44469999999</v>
      </c>
      <c r="JR22" s="290">
        <f t="shared" si="35"/>
        <v>216470.30758819013</v>
      </c>
      <c r="JS22" s="17">
        <v>796380.27040000004</v>
      </c>
      <c r="JT22" s="290">
        <f t="shared" si="36"/>
        <v>796217.9259195358</v>
      </c>
      <c r="JU22" s="17">
        <f t="shared" si="37"/>
        <v>7874032.6098839818</v>
      </c>
      <c r="JV22" s="17">
        <f t="shared" si="37"/>
        <v>7873132.7915930171</v>
      </c>
      <c r="JW22" s="320">
        <f t="shared" si="9"/>
        <v>4.2849977762216396</v>
      </c>
      <c r="KA22" s="283">
        <v>17</v>
      </c>
      <c r="KB22" s="306">
        <v>17</v>
      </c>
      <c r="KC22" s="97">
        <f t="shared" si="10"/>
        <v>10</v>
      </c>
      <c r="KD22" s="390">
        <f t="shared" ref="KD22:KD25" si="124">KC22</f>
        <v>10</v>
      </c>
      <c r="KE22" s="289">
        <f t="shared" si="12"/>
        <v>183737150</v>
      </c>
      <c r="KF22" s="289">
        <f t="shared" si="13"/>
        <v>191203482.30761153</v>
      </c>
      <c r="KG22" s="321">
        <f t="shared" si="38"/>
        <v>1</v>
      </c>
      <c r="KH22" s="321">
        <f t="shared" si="39"/>
        <v>1.0406359427454466</v>
      </c>
      <c r="KI22" s="321">
        <f t="shared" si="40"/>
        <v>0.96584954393205824</v>
      </c>
      <c r="KJ22" s="306" t="s">
        <v>256</v>
      </c>
      <c r="KK22" s="322"/>
      <c r="KL22" s="323"/>
      <c r="KM22" s="322"/>
      <c r="KN22" s="283">
        <v>17</v>
      </c>
      <c r="KO22" s="306">
        <v>17</v>
      </c>
      <c r="KP22" s="324" t="str">
        <f t="shared" si="14"/>
        <v>Q3</v>
      </c>
      <c r="KQ22" s="325">
        <f t="shared" si="15"/>
        <v>0.96584954393205824</v>
      </c>
      <c r="KR22" s="17">
        <f t="shared" si="41"/>
        <v>7829.5435988810923</v>
      </c>
      <c r="KS22" s="17">
        <f t="shared" si="42"/>
        <v>7562.1611141754693</v>
      </c>
      <c r="KT22" s="17">
        <f t="shared" si="16"/>
        <v>20373895</v>
      </c>
      <c r="KU22" s="17">
        <f t="shared" si="43"/>
        <v>20862698.32464955</v>
      </c>
      <c r="KV22" s="17">
        <f t="shared" si="17"/>
        <v>8578324</v>
      </c>
      <c r="KW22" s="17">
        <f t="shared" si="18"/>
        <v>11452530.946335092</v>
      </c>
      <c r="KX22" s="17">
        <f t="shared" si="44"/>
        <v>225000</v>
      </c>
      <c r="KY22" s="17">
        <f t="shared" si="45"/>
        <v>413914.23621994059</v>
      </c>
      <c r="KZ22" s="17">
        <f t="shared" si="46"/>
        <v>8811153.543598881</v>
      </c>
      <c r="LA22" s="17">
        <f t="shared" si="46"/>
        <v>11874007.343669208</v>
      </c>
      <c r="LB22" s="326"/>
      <c r="LC22" s="323"/>
      <c r="LD22" s="322"/>
      <c r="LE22" s="364">
        <f t="shared" si="71"/>
        <v>17</v>
      </c>
      <c r="LF22" s="365">
        <v>16</v>
      </c>
      <c r="LG22" s="411">
        <f t="shared" si="72"/>
        <v>1</v>
      </c>
      <c r="LH22" s="411">
        <f t="shared" si="72"/>
        <v>1.0406359427454466</v>
      </c>
      <c r="LI22" s="412">
        <v>113.92083696213525</v>
      </c>
      <c r="LJ22" s="343">
        <f t="shared" si="73"/>
        <v>2544090.5058355047</v>
      </c>
      <c r="LK22" s="412">
        <v>113.92083696213525</v>
      </c>
      <c r="LL22" s="343">
        <f t="shared" si="47"/>
        <v>105422.97320662143</v>
      </c>
      <c r="LM22" s="412">
        <v>113.92083696213525</v>
      </c>
      <c r="LN22" s="343">
        <f t="shared" si="48"/>
        <v>1323753.7962013045</v>
      </c>
      <c r="LO22" s="412">
        <v>118.41952153062</v>
      </c>
      <c r="LP22" s="343">
        <f t="shared" si="74"/>
        <v>1842397.60847645</v>
      </c>
      <c r="LQ22" s="412">
        <v>118.887537452888</v>
      </c>
      <c r="LR22" s="343">
        <f t="shared" si="49"/>
        <v>120822.72274730085</v>
      </c>
      <c r="LS22" s="412">
        <v>168.49721907230401</v>
      </c>
      <c r="LT22" s="343">
        <f t="shared" si="50"/>
        <v>50168.00646087277</v>
      </c>
      <c r="LU22" s="412">
        <v>107.679074448752</v>
      </c>
      <c r="LV22" s="343">
        <f t="shared" si="51"/>
        <v>594981.61551249423</v>
      </c>
      <c r="LW22" s="412">
        <v>115.99271402550001</v>
      </c>
      <c r="LX22" s="343">
        <f t="shared" si="52"/>
        <v>784196.85232633026</v>
      </c>
      <c r="LY22" s="20">
        <f t="shared" si="53"/>
        <v>7859568.3814669428</v>
      </c>
      <c r="LZ22" s="20">
        <f t="shared" si="75"/>
        <v>7365834.0807668781</v>
      </c>
      <c r="MA22" s="103"/>
      <c r="MB22" s="335"/>
      <c r="MD22" s="283">
        <v>17</v>
      </c>
      <c r="ME22" s="336">
        <v>17</v>
      </c>
      <c r="MF22" s="17">
        <f t="shared" si="19"/>
        <v>8849584.3189000003</v>
      </c>
      <c r="MG22" s="17">
        <f t="shared" si="19"/>
        <v>8811153.543598881</v>
      </c>
      <c r="MH22" s="290">
        <f t="shared" si="20"/>
        <v>11874007.343669208</v>
      </c>
      <c r="MI22" s="17">
        <f t="shared" si="21"/>
        <v>7874032.6098839818</v>
      </c>
      <c r="MJ22" s="17">
        <f t="shared" si="21"/>
        <v>7873132.7915930171</v>
      </c>
      <c r="MK22" s="290">
        <f t="shared" si="54"/>
        <v>7604261.7160766479</v>
      </c>
      <c r="ML22" s="17">
        <f t="shared" si="55"/>
        <v>975551.70901601855</v>
      </c>
      <c r="MM22" s="17">
        <f t="shared" si="55"/>
        <v>938020.75200586393</v>
      </c>
      <c r="MN22" s="17">
        <f t="shared" si="55"/>
        <v>4269745.6275925599</v>
      </c>
      <c r="MX22" s="338">
        <f t="shared" si="85"/>
        <v>16</v>
      </c>
      <c r="MZ22" s="20"/>
      <c r="NA22" s="414"/>
      <c r="NC22" s="15"/>
      <c r="ND22" s="414"/>
      <c r="NH22" s="338">
        <f t="shared" si="86"/>
        <v>16</v>
      </c>
      <c r="NI22" s="96"/>
      <c r="NJ22" s="20"/>
      <c r="NK22" s="20"/>
      <c r="NL22" s="20"/>
      <c r="NM22" s="352"/>
    </row>
    <row r="23" spans="2:377" ht="17.25" thickBot="1" x14ac:dyDescent="0.35">
      <c r="B23" s="899" t="s">
        <v>246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V23" s="522">
        <v>12</v>
      </c>
      <c r="W23" s="523" t="s">
        <v>247</v>
      </c>
      <c r="X23" s="524">
        <f>X19/X8-1</f>
        <v>-10.589899537034373</v>
      </c>
      <c r="Y23" s="524">
        <f>Y19/Y8-1</f>
        <v>6.2668075044692895</v>
      </c>
      <c r="Z23" s="524">
        <f>Z19/Z8-1</f>
        <v>5.5840851153331688</v>
      </c>
      <c r="AA23" s="524">
        <f>AA19/AA8-1</f>
        <v>6.4966706111436192</v>
      </c>
      <c r="AB23" s="344"/>
      <c r="AL23" s="464"/>
      <c r="AN23" s="467">
        <v>19</v>
      </c>
      <c r="AO23" s="525"/>
      <c r="AP23" s="526" t="s">
        <v>248</v>
      </c>
      <c r="AQ23" s="527"/>
      <c r="AR23" s="528"/>
      <c r="AS23" s="529"/>
      <c r="AT23" s="530">
        <v>158</v>
      </c>
      <c r="AU23" s="531"/>
      <c r="AV23" s="529"/>
      <c r="AW23" s="530">
        <v>165</v>
      </c>
      <c r="AX23" s="531"/>
      <c r="AY23" s="532"/>
      <c r="AZ23" s="529"/>
      <c r="BA23" s="530">
        <v>184</v>
      </c>
      <c r="BB23" s="531"/>
      <c r="BC23" s="532"/>
      <c r="BD23" s="529"/>
      <c r="BE23" s="530">
        <v>190</v>
      </c>
      <c r="BF23" s="531"/>
      <c r="BG23" s="532"/>
      <c r="BH23" s="529"/>
      <c r="BI23" s="530">
        <v>191</v>
      </c>
      <c r="BJ23" s="531"/>
      <c r="BK23" s="532"/>
      <c r="BL23" s="529"/>
      <c r="BM23" s="530">
        <v>195</v>
      </c>
      <c r="BN23" s="531"/>
      <c r="BO23" s="532"/>
      <c r="BP23" s="529"/>
      <c r="BQ23" s="530">
        <v>189</v>
      </c>
      <c r="BR23" s="531"/>
      <c r="BS23" s="532"/>
      <c r="BT23" s="961">
        <v>179</v>
      </c>
      <c r="BU23" s="961"/>
      <c r="BV23" s="962"/>
      <c r="BW23" s="533"/>
      <c r="BX23" s="901"/>
      <c r="BY23" s="901"/>
      <c r="BZ23" s="534"/>
      <c r="CA23" s="535"/>
      <c r="CB23" s="97"/>
      <c r="CC23" s="536">
        <f>F25</f>
        <v>205</v>
      </c>
      <c r="CD23" s="535"/>
      <c r="CE23" s="528"/>
      <c r="CF23" s="534">
        <f>CC23/AT23-1</f>
        <v>0.29746835443037978</v>
      </c>
      <c r="CG23" s="528">
        <f t="shared" si="105"/>
        <v>1.4572657766658947E-2</v>
      </c>
      <c r="DA23" s="518"/>
      <c r="DX23" s="493"/>
      <c r="DZ23" s="537"/>
      <c r="EO23" s="538"/>
      <c r="FE23" s="538"/>
      <c r="FG23" s="338">
        <f t="shared" si="84"/>
        <v>18</v>
      </c>
      <c r="FH23" s="360"/>
      <c r="FI23" s="361" t="s">
        <v>249</v>
      </c>
      <c r="FJ23" s="20">
        <v>184467.98630000005</v>
      </c>
      <c r="FK23" s="20">
        <v>403622.42860000004</v>
      </c>
      <c r="FL23" s="20">
        <v>584954.08510000003</v>
      </c>
      <c r="FM23" s="343">
        <f>FJ23+FL23+FK23</f>
        <v>1173044.5</v>
      </c>
      <c r="FN23" s="20">
        <v>186722.60478181817</v>
      </c>
      <c r="FO23" s="20">
        <v>404621.59053000004</v>
      </c>
      <c r="FP23" s="20">
        <v>584954.08509999991</v>
      </c>
      <c r="FQ23" s="20">
        <v>1176298.2804118181</v>
      </c>
      <c r="FR23" s="20">
        <v>1176298.2804118181</v>
      </c>
      <c r="FS23" s="103"/>
      <c r="FT23" s="408"/>
      <c r="HW23" s="338">
        <v>18</v>
      </c>
      <c r="HX23" s="322">
        <v>18</v>
      </c>
      <c r="HY23" s="322">
        <v>10</v>
      </c>
      <c r="HZ23" s="322">
        <v>10</v>
      </c>
      <c r="IA23" s="347">
        <v>213390219</v>
      </c>
      <c r="IB23" s="347">
        <v>213547750</v>
      </c>
      <c r="IC23" s="342">
        <f t="shared" si="5"/>
        <v>1</v>
      </c>
      <c r="ID23" s="342">
        <f t="shared" si="6"/>
        <v>1.0007382297123937</v>
      </c>
      <c r="IE23" s="344">
        <v>0</v>
      </c>
      <c r="IF23" s="344">
        <v>0.1</v>
      </c>
      <c r="IG23" s="344">
        <v>0.9</v>
      </c>
      <c r="IK23" s="364">
        <v>18</v>
      </c>
      <c r="IL23" s="365">
        <v>18</v>
      </c>
      <c r="IM23" s="341">
        <f t="shared" si="7"/>
        <v>1.0007382297123937</v>
      </c>
      <c r="IN23" s="20">
        <v>28794.560000000001</v>
      </c>
      <c r="IO23" s="343">
        <f t="shared" si="29"/>
        <v>28815.816999747305</v>
      </c>
      <c r="IP23" s="20">
        <v>23950319.75</v>
      </c>
      <c r="IQ23" s="343">
        <v>23993455</v>
      </c>
      <c r="IR23" s="20">
        <v>10389360.884500001</v>
      </c>
      <c r="IS23" s="343">
        <v>10106699</v>
      </c>
      <c r="IT23" s="20">
        <v>225000</v>
      </c>
      <c r="IU23" s="20">
        <v>225000</v>
      </c>
      <c r="IV23" s="20">
        <f t="shared" si="30"/>
        <v>10643155.444500001</v>
      </c>
      <c r="IW23" s="20">
        <f t="shared" si="30"/>
        <v>10360514.816999746</v>
      </c>
      <c r="IX23" s="314"/>
      <c r="IY23" s="315"/>
      <c r="IZ23" s="314"/>
      <c r="JA23" s="366">
        <v>18</v>
      </c>
      <c r="JB23" s="365">
        <v>18</v>
      </c>
      <c r="JC23" s="367">
        <f t="shared" si="8"/>
        <v>1</v>
      </c>
      <c r="JD23" s="368">
        <f t="shared" si="8"/>
        <v>1.0007382297123937</v>
      </c>
      <c r="JE23" s="20">
        <v>3366026.4962374517</v>
      </c>
      <c r="JF23" s="343">
        <f t="shared" si="70"/>
        <v>3368511.3970096787</v>
      </c>
      <c r="JG23" s="20">
        <v>315994.95600000006</v>
      </c>
      <c r="JH23" s="343">
        <f t="shared" si="31"/>
        <v>316228.23286548577</v>
      </c>
      <c r="JI23" s="20">
        <v>1356438.8177625476</v>
      </c>
      <c r="JJ23" s="343">
        <f t="shared" si="32"/>
        <v>1356438.8177625476</v>
      </c>
      <c r="JK23" s="20">
        <v>2031537.2144496564</v>
      </c>
      <c r="JL23" s="343">
        <v>2031537.2144496564</v>
      </c>
      <c r="JM23" s="20">
        <v>178113.86633333337</v>
      </c>
      <c r="JN23" s="343">
        <f t="shared" si="33"/>
        <v>178245.35528164994</v>
      </c>
      <c r="JO23" s="20">
        <v>93376.38466666668</v>
      </c>
      <c r="JP23" s="343">
        <f t="shared" si="34"/>
        <v>93445.317888263511</v>
      </c>
      <c r="JQ23" s="20">
        <v>626429.43999999994</v>
      </c>
      <c r="JR23" s="343">
        <f t="shared" si="35"/>
        <v>626891.88882532611</v>
      </c>
      <c r="JS23" s="20">
        <v>1182378.5</v>
      </c>
      <c r="JT23" s="343">
        <f t="shared" si="36"/>
        <v>1183251.3669399954</v>
      </c>
      <c r="JU23" s="20">
        <f t="shared" si="37"/>
        <v>9150295.6754496563</v>
      </c>
      <c r="JV23" s="20">
        <f t="shared" si="37"/>
        <v>9154549.5910226032</v>
      </c>
      <c r="JW23" s="369">
        <f t="shared" si="9"/>
        <v>4.2868864649815341</v>
      </c>
      <c r="KA23" s="338">
        <v>18</v>
      </c>
      <c r="KB23" s="322">
        <v>18</v>
      </c>
      <c r="KC23" s="518">
        <f t="shared" si="10"/>
        <v>10</v>
      </c>
      <c r="KD23" s="96">
        <f t="shared" si="124"/>
        <v>10</v>
      </c>
      <c r="KE23" s="370">
        <f t="shared" si="12"/>
        <v>213547750</v>
      </c>
      <c r="KF23" s="370">
        <f t="shared" si="13"/>
        <v>222225464.14241895</v>
      </c>
      <c r="KG23" s="371">
        <f t="shared" si="38"/>
        <v>1</v>
      </c>
      <c r="KH23" s="371">
        <f t="shared" si="39"/>
        <v>1.0406359427454466</v>
      </c>
      <c r="KI23" s="371">
        <f t="shared" si="40"/>
        <v>0.94965497030298018</v>
      </c>
      <c r="KJ23" s="322" t="s">
        <v>441</v>
      </c>
      <c r="KK23" s="322"/>
      <c r="KL23" s="323"/>
      <c r="KM23" s="322"/>
      <c r="KN23" s="338">
        <v>18</v>
      </c>
      <c r="KO23" s="322">
        <v>18</v>
      </c>
      <c r="KP23" s="437" t="str">
        <f t="shared" si="14"/>
        <v>Q2</v>
      </c>
      <c r="KQ23" s="373">
        <f t="shared" si="15"/>
        <v>0.94965497030298018</v>
      </c>
      <c r="KR23" s="358">
        <f t="shared" si="41"/>
        <v>28815.816999747305</v>
      </c>
      <c r="KS23" s="358">
        <f t="shared" si="42"/>
        <v>27365.083837151138</v>
      </c>
      <c r="KT23" s="358">
        <f t="shared" si="16"/>
        <v>23993455</v>
      </c>
      <c r="KU23" s="358">
        <f t="shared" si="43"/>
        <v>24247585.674196433</v>
      </c>
      <c r="KV23" s="358">
        <f t="shared" si="17"/>
        <v>10106699</v>
      </c>
      <c r="KW23" s="358">
        <f t="shared" si="18"/>
        <v>13310657.182802876</v>
      </c>
      <c r="KX23" s="358">
        <f t="shared" si="44"/>
        <v>225000</v>
      </c>
      <c r="KY23" s="358">
        <f t="shared" si="45"/>
        <v>481070.12565361342</v>
      </c>
      <c r="KZ23" s="358">
        <f t="shared" si="46"/>
        <v>10360514.816999746</v>
      </c>
      <c r="LA23" s="358">
        <f t="shared" si="46"/>
        <v>13819092.392293641</v>
      </c>
      <c r="LB23" s="326"/>
      <c r="LC23" s="323"/>
      <c r="LD23" s="322"/>
      <c r="LE23" s="374">
        <f t="shared" si="71"/>
        <v>18</v>
      </c>
      <c r="LF23" s="375">
        <v>17</v>
      </c>
      <c r="LG23" s="376">
        <f t="shared" si="72"/>
        <v>1</v>
      </c>
      <c r="LH23" s="376">
        <f t="shared" si="72"/>
        <v>1.0406359427454466</v>
      </c>
      <c r="LI23" s="377">
        <v>106.45762205358784</v>
      </c>
      <c r="LJ23" s="290">
        <f t="shared" si="73"/>
        <v>2818605.812851083</v>
      </c>
      <c r="LK23" s="377">
        <v>106.45762205358784</v>
      </c>
      <c r="LL23" s="290">
        <f t="shared" si="47"/>
        <v>128889.36980077332</v>
      </c>
      <c r="LM23" s="377">
        <v>106.45762205358784</v>
      </c>
      <c r="LN23" s="290">
        <f t="shared" si="48"/>
        <v>1397890.1645183493</v>
      </c>
      <c r="LO23" s="377">
        <v>118.614283549666</v>
      </c>
      <c r="LP23" s="290">
        <f t="shared" si="74"/>
        <v>1961386.7649846177</v>
      </c>
      <c r="LQ23" s="377">
        <v>119.48337591187899</v>
      </c>
      <c r="LR23" s="290">
        <f t="shared" si="49"/>
        <v>133006.32637585656</v>
      </c>
      <c r="LS23" s="377">
        <v>157.07111615098</v>
      </c>
      <c r="LT23" s="290">
        <f t="shared" si="50"/>
        <v>63321.916309478445</v>
      </c>
      <c r="LU23" s="377">
        <v>112.15574935818501</v>
      </c>
      <c r="LV23" s="290">
        <f t="shared" si="51"/>
        <v>236819.42697568313</v>
      </c>
      <c r="LW23" s="377">
        <v>116.939890710382</v>
      </c>
      <c r="LX23" s="378">
        <f t="shared" si="52"/>
        <v>864341.93426080525</v>
      </c>
      <c r="LY23" s="379">
        <f t="shared" si="53"/>
        <v>7873132.7915930171</v>
      </c>
      <c r="LZ23" s="379">
        <f t="shared" si="75"/>
        <v>7604261.7160766479</v>
      </c>
      <c r="MA23" s="103"/>
      <c r="MB23" s="335"/>
      <c r="MD23" s="338">
        <v>18</v>
      </c>
      <c r="ME23" s="380">
        <v>18</v>
      </c>
      <c r="MF23" s="20">
        <f t="shared" si="19"/>
        <v>10643155.444500001</v>
      </c>
      <c r="MG23" s="20">
        <f t="shared" si="19"/>
        <v>10360514.816999746</v>
      </c>
      <c r="MH23" s="343">
        <f t="shared" si="20"/>
        <v>13819092.392293641</v>
      </c>
      <c r="MI23" s="20">
        <f t="shared" si="21"/>
        <v>9150295.6754496563</v>
      </c>
      <c r="MJ23" s="20">
        <f t="shared" si="21"/>
        <v>9154549.5910226032</v>
      </c>
      <c r="MK23" s="343">
        <f t="shared" si="54"/>
        <v>8693663.5199997295</v>
      </c>
      <c r="ML23" s="20">
        <f t="shared" si="55"/>
        <v>1492859.7690503448</v>
      </c>
      <c r="MM23" s="20">
        <f t="shared" si="55"/>
        <v>1205965.2259771433</v>
      </c>
      <c r="MN23" s="20">
        <f t="shared" si="55"/>
        <v>5125428.8722939119</v>
      </c>
      <c r="MX23" s="283">
        <f>MX22+1</f>
        <v>17</v>
      </c>
      <c r="MY23" s="285" t="s">
        <v>250</v>
      </c>
      <c r="MZ23" s="28">
        <v>18998322.143907189</v>
      </c>
      <c r="NA23" s="509">
        <f>MZ23/$MZ$34*100</f>
        <v>0.86421276118095169</v>
      </c>
      <c r="NB23" s="285"/>
      <c r="NC23" s="539">
        <v>18998322.143907189</v>
      </c>
      <c r="ND23" s="509">
        <f>NC23/$ND$34*100</f>
        <v>0.86421276118095169</v>
      </c>
      <c r="NH23" s="283">
        <f>NH22+1</f>
        <v>17</v>
      </c>
      <c r="NI23" s="285" t="str">
        <f>MY23</f>
        <v>Total Return</v>
      </c>
      <c r="NJ23" s="28">
        <v>20413939.926346004</v>
      </c>
      <c r="NK23" s="28">
        <f>MZ23</f>
        <v>18998322.143907189</v>
      </c>
      <c r="NL23" s="28">
        <f t="shared" si="77"/>
        <v>-1415617.7824388146</v>
      </c>
      <c r="NM23" s="395">
        <f>NL23/NJ23</f>
        <v>-6.9345642612175712E-2</v>
      </c>
    </row>
    <row r="24" spans="2:377" x14ac:dyDescent="0.3">
      <c r="B24" s="540">
        <f>B22+1</f>
        <v>18</v>
      </c>
      <c r="C24" s="541" t="s">
        <v>244</v>
      </c>
      <c r="D24" s="541"/>
      <c r="E24" s="542"/>
      <c r="F24" s="963">
        <f>HN6</f>
        <v>2078388796</v>
      </c>
      <c r="G24" s="964"/>
      <c r="H24" s="963">
        <f>HR6</f>
        <v>2083394612.0181818</v>
      </c>
      <c r="I24" s="965"/>
      <c r="J24" s="964"/>
      <c r="K24" s="963">
        <f>IB26</f>
        <v>2112495296</v>
      </c>
      <c r="L24" s="965"/>
      <c r="M24" s="964"/>
      <c r="N24" s="963">
        <f>KF26</f>
        <v>2198338533.8982811</v>
      </c>
      <c r="O24" s="965"/>
      <c r="P24" s="964"/>
      <c r="Q24" s="902">
        <f t="shared" ref="Q24" si="125">N24-F24</f>
        <v>119949737.8982811</v>
      </c>
      <c r="R24" s="543">
        <f>N24/F24-1</f>
        <v>5.7712848591722876E-2</v>
      </c>
      <c r="AL24" s="464"/>
      <c r="DX24" s="493"/>
      <c r="DY24" s="280"/>
      <c r="FG24" s="483">
        <f t="shared" si="84"/>
        <v>19</v>
      </c>
      <c r="FH24" s="495"/>
      <c r="FI24" s="496" t="s">
        <v>239</v>
      </c>
      <c r="FJ24" s="28">
        <f>SUM(FJ22:FJ23)</f>
        <v>184867.98630000005</v>
      </c>
      <c r="FK24" s="28">
        <f>SUM(FK22:FK23)</f>
        <v>406029.23860000004</v>
      </c>
      <c r="FL24" s="28">
        <f>SUM(FL22:FL23)</f>
        <v>587754.08510000003</v>
      </c>
      <c r="FM24" s="497">
        <f>FJ24+FL24+FK24</f>
        <v>1178651.31</v>
      </c>
      <c r="FN24" s="28">
        <v>186722.60478181817</v>
      </c>
      <c r="FO24" s="28">
        <v>404621.59053000004</v>
      </c>
      <c r="FP24" s="28">
        <v>584954.08509999991</v>
      </c>
      <c r="FQ24" s="28">
        <v>1176298.2804118181</v>
      </c>
      <c r="FR24" s="28">
        <v>1176298.2804118181</v>
      </c>
      <c r="FS24" s="103"/>
      <c r="FT24" s="408"/>
      <c r="HW24" s="283">
        <v>19</v>
      </c>
      <c r="HX24" s="306">
        <v>19</v>
      </c>
      <c r="HY24" s="306">
        <v>10</v>
      </c>
      <c r="HZ24" s="306">
        <v>10</v>
      </c>
      <c r="IA24" s="307">
        <v>249773354</v>
      </c>
      <c r="IB24" s="307">
        <v>247985580</v>
      </c>
      <c r="IC24" s="309">
        <f t="shared" si="5"/>
        <v>1</v>
      </c>
      <c r="ID24" s="309">
        <f t="shared" si="6"/>
        <v>0.99284241504800386</v>
      </c>
      <c r="IE24" s="310">
        <v>0</v>
      </c>
      <c r="IF24" s="310">
        <v>0.1</v>
      </c>
      <c r="IG24" s="310">
        <v>0.9</v>
      </c>
      <c r="IK24" s="410">
        <v>19</v>
      </c>
      <c r="IL24" s="317">
        <v>19</v>
      </c>
      <c r="IM24" s="313">
        <f t="shared" si="7"/>
        <v>0.99284241504800386</v>
      </c>
      <c r="IN24" s="17">
        <v>15679.92</v>
      </c>
      <c r="IO24" s="290">
        <f t="shared" si="29"/>
        <v>15567.689640559496</v>
      </c>
      <c r="IP24" s="17">
        <v>26667177</v>
      </c>
      <c r="IQ24" s="290">
        <v>27520572</v>
      </c>
      <c r="IR24" s="17">
        <v>11438357.851000002</v>
      </c>
      <c r="IS24" s="290">
        <v>11555915</v>
      </c>
      <c r="IT24" s="17">
        <v>225000</v>
      </c>
      <c r="IU24" s="17">
        <v>225000</v>
      </c>
      <c r="IV24" s="17">
        <f t="shared" si="30"/>
        <v>11679037.771000002</v>
      </c>
      <c r="IW24" s="17">
        <f t="shared" si="30"/>
        <v>11796482.689640559</v>
      </c>
      <c r="IX24" s="314"/>
      <c r="IY24" s="315"/>
      <c r="IZ24" s="314"/>
      <c r="JA24" s="316">
        <v>19</v>
      </c>
      <c r="JB24" s="317">
        <v>19</v>
      </c>
      <c r="JC24" s="318">
        <f t="shared" si="8"/>
        <v>1</v>
      </c>
      <c r="JD24" s="319">
        <f t="shared" si="8"/>
        <v>0.99284241504800386</v>
      </c>
      <c r="JE24" s="17">
        <v>4734511.2557995431</v>
      </c>
      <c r="JF24" s="290">
        <f t="shared" si="70"/>
        <v>4700623.5892799757</v>
      </c>
      <c r="JG24" s="17">
        <v>230037.61</v>
      </c>
      <c r="JH24" s="290">
        <f t="shared" si="31"/>
        <v>228391.09626427083</v>
      </c>
      <c r="JI24" s="17">
        <v>1633641.354200457</v>
      </c>
      <c r="JJ24" s="290">
        <f t="shared" si="32"/>
        <v>1633641.354200457</v>
      </c>
      <c r="JK24" s="17">
        <v>2197514.8582347659</v>
      </c>
      <c r="JL24" s="290">
        <v>2197514.8582347659</v>
      </c>
      <c r="JM24" s="17">
        <v>105638.49200000003</v>
      </c>
      <c r="JN24" s="290">
        <f t="shared" si="33"/>
        <v>104882.37551930927</v>
      </c>
      <c r="JO24" s="17">
        <v>97911.6</v>
      </c>
      <c r="JP24" s="290">
        <f t="shared" si="34"/>
        <v>97210.789405214135</v>
      </c>
      <c r="JQ24" s="17">
        <v>945705.48</v>
      </c>
      <c r="JR24" s="290">
        <f t="shared" si="35"/>
        <v>938936.51268733165</v>
      </c>
      <c r="JS24" s="17">
        <v>1285143.97</v>
      </c>
      <c r="JT24" s="290">
        <f t="shared" si="36"/>
        <v>1275945.4428591793</v>
      </c>
      <c r="JU24" s="17">
        <f t="shared" si="37"/>
        <v>11230104.620234767</v>
      </c>
      <c r="JV24" s="17">
        <f t="shared" si="37"/>
        <v>11177146.018450504</v>
      </c>
      <c r="JW24" s="320">
        <f t="shared" si="9"/>
        <v>4.5071757875802714</v>
      </c>
      <c r="KA24" s="283">
        <v>19</v>
      </c>
      <c r="KB24" s="306">
        <v>19</v>
      </c>
      <c r="KC24" s="97">
        <f t="shared" si="10"/>
        <v>10</v>
      </c>
      <c r="KD24" s="390">
        <f t="shared" si="124"/>
        <v>10</v>
      </c>
      <c r="KE24" s="289">
        <f t="shared" si="12"/>
        <v>247985580</v>
      </c>
      <c r="KF24" s="289">
        <f t="shared" si="13"/>
        <v>258062707.83057636</v>
      </c>
      <c r="KG24" s="321">
        <f t="shared" si="38"/>
        <v>1</v>
      </c>
      <c r="KH24" s="321">
        <f t="shared" si="39"/>
        <v>1.0406359427454466</v>
      </c>
      <c r="KI24" s="321">
        <f t="shared" si="40"/>
        <v>0.97359903432073058</v>
      </c>
      <c r="KJ24" s="306" t="s">
        <v>256</v>
      </c>
      <c r="KK24" s="322"/>
      <c r="KL24" s="323"/>
      <c r="KM24" s="322"/>
      <c r="KN24" s="283">
        <v>19</v>
      </c>
      <c r="KO24" s="306">
        <v>19</v>
      </c>
      <c r="KP24" s="324" t="str">
        <f t="shared" si="14"/>
        <v>Q3</v>
      </c>
      <c r="KQ24" s="325">
        <f t="shared" si="15"/>
        <v>0.97359903432073058</v>
      </c>
      <c r="KR24" s="17">
        <f t="shared" si="41"/>
        <v>15567.689640559496</v>
      </c>
      <c r="KS24" s="17">
        <f t="shared" si="42"/>
        <v>15156.687600653568</v>
      </c>
      <c r="KT24" s="17">
        <f t="shared" si="16"/>
        <v>27520572</v>
      </c>
      <c r="KU24" s="17">
        <f t="shared" si="43"/>
        <v>28157878.493289176</v>
      </c>
      <c r="KV24" s="17">
        <f t="shared" si="17"/>
        <v>11555915</v>
      </c>
      <c r="KW24" s="17">
        <f t="shared" si="18"/>
        <v>15457203.560601963</v>
      </c>
      <c r="KX24" s="17">
        <f t="shared" si="44"/>
        <v>225000</v>
      </c>
      <c r="KY24" s="17">
        <f t="shared" si="45"/>
        <v>558650.01682707598</v>
      </c>
      <c r="KZ24" s="17">
        <f t="shared" si="46"/>
        <v>11796482.689640559</v>
      </c>
      <c r="LA24" s="17">
        <f t="shared" si="46"/>
        <v>16031010.265029693</v>
      </c>
      <c r="LB24" s="326"/>
      <c r="LC24" s="323"/>
      <c r="LD24" s="322"/>
      <c r="LE24" s="364">
        <f t="shared" si="71"/>
        <v>19</v>
      </c>
      <c r="LF24" s="365">
        <v>18</v>
      </c>
      <c r="LG24" s="411">
        <f t="shared" si="72"/>
        <v>1</v>
      </c>
      <c r="LH24" s="411">
        <f t="shared" si="72"/>
        <v>1.0406359427454466</v>
      </c>
      <c r="LI24" s="412">
        <v>113.92083696213525</v>
      </c>
      <c r="LJ24" s="343">
        <f t="shared" si="73"/>
        <v>2889248.4267366049</v>
      </c>
      <c r="LK24" s="412">
        <v>113.92083696213525</v>
      </c>
      <c r="LL24" s="343">
        <f t="shared" si="47"/>
        <v>271236.10895524494</v>
      </c>
      <c r="LM24" s="412">
        <v>113.92083696213525</v>
      </c>
      <c r="LN24" s="343">
        <f t="shared" si="48"/>
        <v>1118016.600411206</v>
      </c>
      <c r="LO24" s="412">
        <v>118.41952153062</v>
      </c>
      <c r="LP24" s="343">
        <f t="shared" si="74"/>
        <v>2128530.1231251913</v>
      </c>
      <c r="LQ24" s="412">
        <v>118.887537452888</v>
      </c>
      <c r="LR24" s="343">
        <f t="shared" si="49"/>
        <v>194898.06936615694</v>
      </c>
      <c r="LS24" s="412">
        <v>168.49721907230401</v>
      </c>
      <c r="LT24" s="343">
        <f t="shared" si="50"/>
        <v>82420.60246732847</v>
      </c>
      <c r="LU24" s="412">
        <v>107.679074448752</v>
      </c>
      <c r="LV24" s="343">
        <f t="shared" si="51"/>
        <v>714334.90166858432</v>
      </c>
      <c r="LW24" s="412">
        <v>115.99271402550001</v>
      </c>
      <c r="LX24" s="343">
        <f t="shared" si="52"/>
        <v>1294978.687269412</v>
      </c>
      <c r="LY24" s="20">
        <f t="shared" si="53"/>
        <v>9154549.5910226032</v>
      </c>
      <c r="LZ24" s="20">
        <f t="shared" si="75"/>
        <v>8693663.5199997295</v>
      </c>
      <c r="MA24" s="103"/>
      <c r="MB24" s="335"/>
      <c r="MD24" s="283">
        <v>19</v>
      </c>
      <c r="ME24" s="336">
        <v>19</v>
      </c>
      <c r="MF24" s="17">
        <f t="shared" si="19"/>
        <v>11679037.771000002</v>
      </c>
      <c r="MG24" s="17">
        <f t="shared" si="19"/>
        <v>11796482.689640559</v>
      </c>
      <c r="MH24" s="290">
        <f t="shared" si="20"/>
        <v>16031010.265029693</v>
      </c>
      <c r="MI24" s="17">
        <f t="shared" si="21"/>
        <v>11230104.620234767</v>
      </c>
      <c r="MJ24" s="17">
        <f t="shared" si="21"/>
        <v>11177146.018450504</v>
      </c>
      <c r="MK24" s="290">
        <f t="shared" si="54"/>
        <v>10882058.570025209</v>
      </c>
      <c r="ML24" s="17">
        <f t="shared" si="55"/>
        <v>448933.1507652346</v>
      </c>
      <c r="MM24" s="17">
        <f t="shared" si="55"/>
        <v>619336.67119005509</v>
      </c>
      <c r="MN24" s="17">
        <f t="shared" si="55"/>
        <v>5148951.6950044837</v>
      </c>
      <c r="MX24" s="446">
        <f t="shared" si="85"/>
        <v>18</v>
      </c>
      <c r="MY24" s="418" t="s">
        <v>251</v>
      </c>
      <c r="MZ24" s="544">
        <f>1-(MZ8+MZ21)/(MZ8+MZ21+MZ23)</f>
        <v>5.3801134748841073E-2</v>
      </c>
      <c r="NA24" s="472"/>
      <c r="NB24" s="453"/>
      <c r="NC24" s="545">
        <f>1-(NC8+NC21)/(NC8+NC21+NC23)</f>
        <v>5.3801134748841073E-2</v>
      </c>
      <c r="ND24" s="472"/>
      <c r="NH24" s="446">
        <f t="shared" si="86"/>
        <v>18</v>
      </c>
      <c r="NI24" s="546" t="str">
        <f>MY24</f>
        <v>Pre-Tax Return</v>
      </c>
      <c r="NJ24" s="29">
        <v>5.3900000000000059E-2</v>
      </c>
      <c r="NK24" s="547">
        <f>MZ24</f>
        <v>5.3801134748841073E-2</v>
      </c>
      <c r="NL24" s="547">
        <f t="shared" si="77"/>
        <v>-9.8865251158986034E-5</v>
      </c>
      <c r="NM24" s="548">
        <f t="shared" si="78"/>
        <v>-1.8342347153800728E-3</v>
      </c>
    </row>
    <row r="25" spans="2:377" ht="17.25" thickBot="1" x14ac:dyDescent="0.35">
      <c r="B25" s="549">
        <f>B24+1</f>
        <v>19</v>
      </c>
      <c r="C25" s="550" t="s">
        <v>252</v>
      </c>
      <c r="D25" s="550"/>
      <c r="E25" s="551"/>
      <c r="F25" s="955">
        <f>HY26</f>
        <v>205</v>
      </c>
      <c r="G25" s="956"/>
      <c r="H25" s="955">
        <f>HY26</f>
        <v>205</v>
      </c>
      <c r="I25" s="957"/>
      <c r="J25" s="956"/>
      <c r="K25" s="955">
        <f>KC26</f>
        <v>221</v>
      </c>
      <c r="L25" s="957"/>
      <c r="M25" s="956"/>
      <c r="N25" s="955">
        <f>KD26</f>
        <v>221</v>
      </c>
      <c r="O25" s="957"/>
      <c r="P25" s="956"/>
      <c r="Q25" s="900">
        <f>N25-F25</f>
        <v>16</v>
      </c>
      <c r="R25" s="552">
        <f>N25/F25-1</f>
        <v>7.8048780487804947E-2</v>
      </c>
      <c r="AL25" s="464"/>
      <c r="DX25" s="475"/>
      <c r="FG25" s="338">
        <f t="shared" si="84"/>
        <v>20</v>
      </c>
      <c r="FH25" s="474" t="s">
        <v>253</v>
      </c>
      <c r="FI25" s="476"/>
      <c r="FJ25" s="507"/>
      <c r="FK25" s="507"/>
      <c r="FL25" s="507"/>
      <c r="FM25" s="508"/>
      <c r="FN25" s="507"/>
      <c r="FO25" s="507"/>
      <c r="FP25" s="507"/>
      <c r="FQ25" s="507"/>
      <c r="FR25" s="507"/>
      <c r="FS25" s="103"/>
      <c r="FT25" s="408"/>
      <c r="HW25" s="456">
        <v>20</v>
      </c>
      <c r="HX25" s="553">
        <v>20</v>
      </c>
      <c r="HY25" s="553">
        <v>11</v>
      </c>
      <c r="HZ25" s="553">
        <v>11</v>
      </c>
      <c r="IA25" s="554">
        <v>373317692</v>
      </c>
      <c r="IB25" s="554">
        <v>369485441</v>
      </c>
      <c r="IC25" s="555">
        <f t="shared" si="5"/>
        <v>1</v>
      </c>
      <c r="ID25" s="555">
        <f t="shared" si="6"/>
        <v>0.98973461188118561</v>
      </c>
      <c r="IE25" s="556">
        <v>0</v>
      </c>
      <c r="IF25" s="556">
        <v>0</v>
      </c>
      <c r="IG25" s="556">
        <v>1</v>
      </c>
      <c r="IK25" s="557">
        <v>20</v>
      </c>
      <c r="IL25" s="558">
        <v>20</v>
      </c>
      <c r="IM25" s="559">
        <f t="shared" si="7"/>
        <v>0.98973461188118561</v>
      </c>
      <c r="IN25" s="458">
        <v>66979.06</v>
      </c>
      <c r="IO25" s="560">
        <f t="shared" si="29"/>
        <v>66291.493953266647</v>
      </c>
      <c r="IP25" s="458">
        <v>41579002</v>
      </c>
      <c r="IQ25" s="560">
        <v>37694016</v>
      </c>
      <c r="IR25" s="458">
        <v>17884950.9947</v>
      </c>
      <c r="IS25" s="560">
        <v>15085757</v>
      </c>
      <c r="IT25" s="458">
        <v>247500</v>
      </c>
      <c r="IU25" s="458">
        <v>247500</v>
      </c>
      <c r="IV25" s="458">
        <f t="shared" si="30"/>
        <v>18199430.054699998</v>
      </c>
      <c r="IW25" s="458">
        <f t="shared" si="30"/>
        <v>15399548.493953267</v>
      </c>
      <c r="IX25" s="314"/>
      <c r="IY25" s="315"/>
      <c r="IZ25" s="314"/>
      <c r="JA25" s="561">
        <v>20</v>
      </c>
      <c r="JB25" s="558">
        <v>20</v>
      </c>
      <c r="JC25" s="562">
        <f t="shared" si="8"/>
        <v>1</v>
      </c>
      <c r="JD25" s="563">
        <f t="shared" si="8"/>
        <v>0.98973461188118561</v>
      </c>
      <c r="JE25" s="458">
        <v>6270559.2375621554</v>
      </c>
      <c r="JF25" s="560">
        <f t="shared" si="70"/>
        <v>6206189.5132665634</v>
      </c>
      <c r="JG25" s="458">
        <v>329079.75049999997</v>
      </c>
      <c r="JH25" s="560">
        <f t="shared" si="31"/>
        <v>325701.61913907487</v>
      </c>
      <c r="JI25" s="458">
        <v>2349281.2134378431</v>
      </c>
      <c r="JJ25" s="560">
        <f t="shared" si="32"/>
        <v>2349281.2134378431</v>
      </c>
      <c r="JK25" s="458">
        <v>2518575.8474006681</v>
      </c>
      <c r="JL25" s="560">
        <v>2518575.8474006681</v>
      </c>
      <c r="JM25" s="458">
        <v>434017.47450000001</v>
      </c>
      <c r="JN25" s="560">
        <f>JM25*$ID25</f>
        <v>429562.11667390988</v>
      </c>
      <c r="JO25" s="458">
        <v>127293.87549999999</v>
      </c>
      <c r="JP25" s="560">
        <f t="shared" si="34"/>
        <v>125987.15446284445</v>
      </c>
      <c r="JQ25" s="458">
        <v>929248.59000000008</v>
      </c>
      <c r="JR25" s="560">
        <f t="shared" si="35"/>
        <v>919709.49256478902</v>
      </c>
      <c r="JS25" s="458">
        <v>1309487.1400000001</v>
      </c>
      <c r="JT25" s="560">
        <f t="shared" si="36"/>
        <v>1296044.7462713039</v>
      </c>
      <c r="JU25" s="458">
        <f t="shared" si="37"/>
        <v>14267543.128900668</v>
      </c>
      <c r="JV25" s="458">
        <f t="shared" si="37"/>
        <v>14171051.703217</v>
      </c>
      <c r="JW25" s="564">
        <f t="shared" si="9"/>
        <v>3.8353477920167904</v>
      </c>
      <c r="KA25" s="456">
        <v>20</v>
      </c>
      <c r="KB25" s="553">
        <v>20</v>
      </c>
      <c r="KC25" s="565">
        <f t="shared" si="10"/>
        <v>11</v>
      </c>
      <c r="KD25" s="566">
        <f t="shared" si="124"/>
        <v>11</v>
      </c>
      <c r="KE25" s="567">
        <f t="shared" si="12"/>
        <v>369485441</v>
      </c>
      <c r="KF25" s="567">
        <f t="shared" si="13"/>
        <v>384499830.22575206</v>
      </c>
      <c r="KG25" s="568">
        <f t="shared" si="38"/>
        <v>1</v>
      </c>
      <c r="KH25" s="568">
        <f t="shared" si="39"/>
        <v>1.0406359427454466</v>
      </c>
      <c r="KI25" s="568">
        <f t="shared" si="40"/>
        <v>0.96686960615823814</v>
      </c>
      <c r="KJ25" s="553" t="s">
        <v>256</v>
      </c>
      <c r="KK25" s="322"/>
      <c r="KL25" s="323"/>
      <c r="KM25" s="322"/>
      <c r="KN25" s="456">
        <v>20</v>
      </c>
      <c r="KO25" s="553">
        <v>20</v>
      </c>
      <c r="KP25" s="569" t="str">
        <f t="shared" si="14"/>
        <v>Q3</v>
      </c>
      <c r="KQ25" s="570">
        <f t="shared" si="15"/>
        <v>0.96686960615823814</v>
      </c>
      <c r="KR25" s="571">
        <f t="shared" si="41"/>
        <v>66291.493953266647</v>
      </c>
      <c r="KS25" s="571">
        <f t="shared" si="42"/>
        <v>64095.230650236146</v>
      </c>
      <c r="KT25" s="571">
        <f t="shared" si="16"/>
        <v>37694016</v>
      </c>
      <c r="KU25" s="571">
        <f t="shared" si="43"/>
        <v>41953754.539749309</v>
      </c>
      <c r="KV25" s="571">
        <f t="shared" si="17"/>
        <v>15085757</v>
      </c>
      <c r="KW25" s="571">
        <f t="shared" si="18"/>
        <v>23030418.438909981</v>
      </c>
      <c r="KX25" s="571">
        <f t="shared" si="44"/>
        <v>247500</v>
      </c>
      <c r="KY25" s="571">
        <f t="shared" si="45"/>
        <v>832359.07439460629</v>
      </c>
      <c r="KZ25" s="571">
        <f t="shared" si="46"/>
        <v>15399548.493953267</v>
      </c>
      <c r="LA25" s="571">
        <f t="shared" si="46"/>
        <v>23926872.743954822</v>
      </c>
      <c r="LB25" s="326"/>
      <c r="LC25" s="323"/>
      <c r="LD25" s="322"/>
      <c r="LE25" s="374">
        <f t="shared" si="71"/>
        <v>20</v>
      </c>
      <c r="LF25" s="375">
        <v>19</v>
      </c>
      <c r="LG25" s="376">
        <f t="shared" si="72"/>
        <v>1</v>
      </c>
      <c r="LH25" s="376">
        <f t="shared" si="72"/>
        <v>1.0406359427454466</v>
      </c>
      <c r="LI25" s="377">
        <v>106.45762205358784</v>
      </c>
      <c r="LJ25" s="290">
        <f t="shared" si="73"/>
        <v>4314482.8397288192</v>
      </c>
      <c r="LK25" s="377">
        <v>106.45762205358784</v>
      </c>
      <c r="LL25" s="290">
        <f t="shared" si="47"/>
        <v>209629.51975697069</v>
      </c>
      <c r="LM25" s="377">
        <v>106.45762205358784</v>
      </c>
      <c r="LN25" s="290">
        <f t="shared" si="48"/>
        <v>1440891.1269047759</v>
      </c>
      <c r="LO25" s="377">
        <v>118.614283549666</v>
      </c>
      <c r="LP25" s="290">
        <f t="shared" si="74"/>
        <v>2298651.595409513</v>
      </c>
      <c r="LQ25" s="377">
        <v>119.48337591187899</v>
      </c>
      <c r="LR25" s="290">
        <f t="shared" si="49"/>
        <v>114109.20437659351</v>
      </c>
      <c r="LS25" s="377">
        <v>157.07111615098</v>
      </c>
      <c r="LT25" s="290">
        <f t="shared" si="50"/>
        <v>91979.091688278801</v>
      </c>
      <c r="LU25" s="377">
        <v>112.15574935818501</v>
      </c>
      <c r="LV25" s="290">
        <f t="shared" si="51"/>
        <v>1027200.4940473011</v>
      </c>
      <c r="LW25" s="377">
        <v>116.939890710382</v>
      </c>
      <c r="LX25" s="378">
        <f t="shared" si="52"/>
        <v>1385114.6981129576</v>
      </c>
      <c r="LY25" s="379">
        <f t="shared" si="53"/>
        <v>11177146.018450504</v>
      </c>
      <c r="LZ25" s="379">
        <f t="shared" si="75"/>
        <v>10882058.570025209</v>
      </c>
      <c r="MA25" s="103"/>
      <c r="MB25" s="335"/>
      <c r="MD25" s="338">
        <v>20</v>
      </c>
      <c r="ME25" s="380">
        <v>20</v>
      </c>
      <c r="MF25" s="20">
        <f t="shared" si="19"/>
        <v>18199430.054699998</v>
      </c>
      <c r="MG25" s="20">
        <f t="shared" si="19"/>
        <v>15399548.493953267</v>
      </c>
      <c r="MH25" s="343">
        <f t="shared" si="20"/>
        <v>23926872.743954822</v>
      </c>
      <c r="MI25" s="20">
        <f t="shared" si="21"/>
        <v>14267543.128900668</v>
      </c>
      <c r="MJ25" s="20">
        <f t="shared" si="21"/>
        <v>14171051.703217</v>
      </c>
      <c r="MK25" s="343">
        <f t="shared" si="54"/>
        <v>13701559.17913745</v>
      </c>
      <c r="ML25" s="20">
        <f t="shared" si="55"/>
        <v>3931886.9257993307</v>
      </c>
      <c r="MM25" s="20">
        <f t="shared" si="55"/>
        <v>1228496.7907362673</v>
      </c>
      <c r="MN25" s="20">
        <f t="shared" si="55"/>
        <v>10225313.564817373</v>
      </c>
      <c r="MX25" s="483">
        <f>MX24+1</f>
        <v>19</v>
      </c>
      <c r="MY25" s="572" t="s">
        <v>254</v>
      </c>
      <c r="MZ25" s="31">
        <f>MZ21+MZ23-MZ10</f>
        <v>113048749.3950765</v>
      </c>
      <c r="NA25" s="573">
        <f>MZ25/$MZ$34*100</f>
        <v>5.1424631671541885</v>
      </c>
      <c r="NB25" s="572"/>
      <c r="NC25" s="574">
        <f>NC21+NC23-NC10</f>
        <v>113048749.3950765</v>
      </c>
      <c r="ND25" s="573">
        <f>NC25/$ND$34*100</f>
        <v>5.1424631671541885</v>
      </c>
      <c r="NH25" s="483">
        <f>NH24+1</f>
        <v>19</v>
      </c>
      <c r="NI25" s="31" t="str">
        <f>MY25</f>
        <v>Revenue Requirement</v>
      </c>
      <c r="NJ25" s="31">
        <v>137621699.16939428</v>
      </c>
      <c r="NK25" s="31">
        <f>MZ25</f>
        <v>113048749.3950765</v>
      </c>
      <c r="NL25" s="31">
        <f t="shared" si="77"/>
        <v>-24572949.774317786</v>
      </c>
      <c r="NM25" s="575">
        <f t="shared" si="78"/>
        <v>-0.17855432626268988</v>
      </c>
    </row>
    <row r="26" spans="2:377" ht="17.25" thickBot="1" x14ac:dyDescent="0.35">
      <c r="AL26" s="464"/>
      <c r="AN26" s="576"/>
      <c r="AO26" s="577"/>
      <c r="AQ26" s="91"/>
      <c r="AS26" s="578"/>
      <c r="AT26" s="578"/>
      <c r="AU26" s="91"/>
      <c r="AV26" s="578"/>
      <c r="AW26" s="578"/>
      <c r="AX26" s="578"/>
      <c r="AY26" s="91"/>
      <c r="AZ26" s="578"/>
      <c r="BA26" s="578"/>
      <c r="BB26" s="578"/>
      <c r="BC26" s="91"/>
      <c r="BD26" s="578"/>
      <c r="BE26" s="578"/>
      <c r="BF26" s="578"/>
      <c r="BG26" s="91"/>
      <c r="BH26" s="578"/>
      <c r="BI26" s="578"/>
      <c r="BJ26" s="578"/>
      <c r="BK26" s="91"/>
      <c r="BL26" s="578"/>
      <c r="BM26" s="578"/>
      <c r="BN26" s="578"/>
      <c r="BO26" s="91"/>
      <c r="BP26" s="578"/>
      <c r="BQ26" s="578"/>
      <c r="BR26" s="578"/>
      <c r="BS26" s="91"/>
      <c r="BT26" s="578"/>
      <c r="BU26" s="578"/>
      <c r="BV26" s="578"/>
      <c r="BW26" s="578"/>
      <c r="BX26" s="578"/>
      <c r="BY26" s="578"/>
      <c r="BZ26" s="578"/>
      <c r="CA26" s="578"/>
      <c r="CB26" s="578"/>
      <c r="CC26" s="578"/>
      <c r="CD26" s="578"/>
      <c r="CE26" s="578"/>
      <c r="CF26" s="578"/>
      <c r="CG26" s="578"/>
      <c r="DX26" s="475"/>
      <c r="EC26" s="579"/>
      <c r="FG26" s="283">
        <f t="shared" si="84"/>
        <v>21</v>
      </c>
      <c r="FH26" s="406"/>
      <c r="FI26" s="407" t="s">
        <v>255</v>
      </c>
      <c r="FJ26" s="17">
        <v>1612.63</v>
      </c>
      <c r="FK26" s="17">
        <v>54550.04</v>
      </c>
      <c r="FL26" s="17">
        <v>0</v>
      </c>
      <c r="FM26" s="290">
        <f t="shared" ref="FM26:FM31" si="126">FJ26+FL26+FK26</f>
        <v>56162.67</v>
      </c>
      <c r="FN26" s="17">
        <v>1612.63</v>
      </c>
      <c r="FO26" s="17">
        <v>54550.04</v>
      </c>
      <c r="FP26" s="17">
        <v>0</v>
      </c>
      <c r="FQ26" s="17">
        <v>56162.67</v>
      </c>
      <c r="FR26" s="17">
        <v>56162.67</v>
      </c>
      <c r="FS26" s="103"/>
      <c r="FT26" s="408"/>
      <c r="HW26" s="467">
        <v>21</v>
      </c>
      <c r="HX26" s="580" t="s">
        <v>72</v>
      </c>
      <c r="HY26" s="580">
        <f>SUM(HY6:HY25)</f>
        <v>205</v>
      </c>
      <c r="HZ26" s="580">
        <f>SUM(HZ6:HZ25)</f>
        <v>221</v>
      </c>
      <c r="IA26" s="581">
        <f>SUM(IA6:IA25)</f>
        <v>2083394612.0181818</v>
      </c>
      <c r="IB26" s="581">
        <f>SUM(IB6:IB25)</f>
        <v>2112495296</v>
      </c>
      <c r="IC26" s="582">
        <f t="shared" si="5"/>
        <v>1.0780487804878049</v>
      </c>
      <c r="ID26" s="582">
        <f t="shared" si="6"/>
        <v>1.013967917462179</v>
      </c>
      <c r="IE26" s="581"/>
      <c r="IF26" s="581"/>
      <c r="IG26" s="581"/>
      <c r="IH26" s="280"/>
      <c r="IJ26" s="493"/>
      <c r="IK26" s="583">
        <v>21</v>
      </c>
      <c r="IL26" s="584" t="s">
        <v>72</v>
      </c>
      <c r="IM26" s="585">
        <f t="shared" si="7"/>
        <v>1.013967917462179</v>
      </c>
      <c r="IN26" s="31">
        <f t="shared" ref="IN26:IU26" si="127">SUM(IN6:IN25)</f>
        <v>215937.90000000002</v>
      </c>
      <c r="IO26" s="586">
        <f t="shared" si="127"/>
        <v>214148.01155062864</v>
      </c>
      <c r="IP26" s="31">
        <f t="shared" si="127"/>
        <v>229512596.2469697</v>
      </c>
      <c r="IQ26" s="586">
        <f t="shared" si="127"/>
        <v>229425276</v>
      </c>
      <c r="IR26" s="31">
        <f t="shared" si="127"/>
        <v>97659849.12220636</v>
      </c>
      <c r="IS26" s="586">
        <f t="shared" si="127"/>
        <v>94967116</v>
      </c>
      <c r="IT26" s="31">
        <f t="shared" si="127"/>
        <v>4550161.0413039103</v>
      </c>
      <c r="IU26" s="586">
        <f t="shared" si="127"/>
        <v>4747991.9641978256</v>
      </c>
      <c r="IV26" s="31">
        <f>SUM(IN26,IR26,IT26)</f>
        <v>102425948.06351027</v>
      </c>
      <c r="IW26" s="31">
        <f>SUM(IO26,IS26,IU26)</f>
        <v>99929255.975748464</v>
      </c>
      <c r="IX26" s="587"/>
      <c r="IY26" s="588"/>
      <c r="IZ26" s="587"/>
      <c r="JA26" s="316">
        <v>21</v>
      </c>
      <c r="JB26" s="589" t="s">
        <v>72</v>
      </c>
      <c r="JC26" s="590">
        <f>IC26</f>
        <v>1.0780487804878049</v>
      </c>
      <c r="JD26" s="591">
        <f t="shared" ref="JD26" si="128">ID26</f>
        <v>1.013967917462179</v>
      </c>
      <c r="JE26" s="592">
        <f t="shared" ref="JE26:JT26" si="129">SUM(JE6:JE25)</f>
        <v>36384668.568564296</v>
      </c>
      <c r="JF26" s="593">
        <f t="shared" si="129"/>
        <v>36992330.313946411</v>
      </c>
      <c r="JG26" s="592">
        <f t="shared" si="129"/>
        <v>2147299.9196500001</v>
      </c>
      <c r="JH26" s="593">
        <f t="shared" si="129"/>
        <v>2193064.0614437284</v>
      </c>
      <c r="JI26" s="592">
        <f t="shared" si="129"/>
        <v>17229598.204603888</v>
      </c>
      <c r="JJ26" s="593">
        <f t="shared" si="129"/>
        <v>17704130.732731506</v>
      </c>
      <c r="JK26" s="592">
        <f t="shared" si="129"/>
        <v>20963340.954979222</v>
      </c>
      <c r="JL26" s="593">
        <f t="shared" si="129"/>
        <v>21765718.436968524</v>
      </c>
      <c r="JM26" s="592">
        <f t="shared" si="129"/>
        <v>2093939.2539242425</v>
      </c>
      <c r="JN26" s="593">
        <f t="shared" si="129"/>
        <v>2144213.8135649599</v>
      </c>
      <c r="JO26" s="592">
        <f t="shared" si="129"/>
        <v>1282057.8355257579</v>
      </c>
      <c r="JP26" s="593">
        <f t="shared" si="129"/>
        <v>1322857.4076787899</v>
      </c>
      <c r="JQ26" s="592">
        <f t="shared" si="129"/>
        <v>4946746.7976090908</v>
      </c>
      <c r="JR26" s="593">
        <f t="shared" si="129"/>
        <v>4997847.5990450596</v>
      </c>
      <c r="JS26" s="592">
        <f t="shared" si="129"/>
        <v>9669260.545699697</v>
      </c>
      <c r="JT26" s="593">
        <f t="shared" si="129"/>
        <v>9826395.2532786801</v>
      </c>
      <c r="JU26" s="592">
        <f t="shared" si="37"/>
        <v>94716912.080556184</v>
      </c>
      <c r="JV26" s="592">
        <f>JF26+JH26+JJ26+JL26+JR26+JT26+JN26+JP26</f>
        <v>96946557.618657649</v>
      </c>
      <c r="JW26" s="594">
        <f t="shared" si="9"/>
        <v>4.5891963784357532</v>
      </c>
      <c r="JX26" s="280"/>
      <c r="JY26" s="595"/>
      <c r="KA26" s="467">
        <v>21</v>
      </c>
      <c r="KB26" s="580" t="s">
        <v>72</v>
      </c>
      <c r="KC26" s="526">
        <f>SUM(KC6:KC25)</f>
        <v>221</v>
      </c>
      <c r="KD26" s="526">
        <f>SUM(KD6:KD25)</f>
        <v>221</v>
      </c>
      <c r="KE26" s="596">
        <f>SUM(KE6:KE25)</f>
        <v>2112495296</v>
      </c>
      <c r="KF26" s="596">
        <f>'ABDA 8 month Phase II'!M28</f>
        <v>2198338533.8982811</v>
      </c>
      <c r="KG26" s="597">
        <f t="shared" si="38"/>
        <v>1</v>
      </c>
      <c r="KH26" s="597">
        <f t="shared" si="39"/>
        <v>1.0406359427454466</v>
      </c>
      <c r="KI26" s="597">
        <f>LZ27/LY28</f>
        <v>0.97225303419584963</v>
      </c>
      <c r="KJ26" s="598" t="s">
        <v>256</v>
      </c>
      <c r="KK26" s="599"/>
      <c r="KL26" s="600"/>
      <c r="KM26" s="599"/>
      <c r="KN26" s="283">
        <v>21</v>
      </c>
      <c r="KO26" s="601" t="s">
        <v>72</v>
      </c>
      <c r="KP26" s="602" t="str">
        <f>KJ26</f>
        <v>Q3</v>
      </c>
      <c r="KQ26" s="603">
        <f t="shared" si="15"/>
        <v>0.97225303419584963</v>
      </c>
      <c r="KR26" s="28">
        <f>SUM(KR6:KR25)</f>
        <v>214148.01155062864</v>
      </c>
      <c r="KS26" s="28">
        <f>SUM(KS6:KS25)</f>
        <v>206157.54841335485</v>
      </c>
      <c r="KT26" s="28">
        <f t="shared" si="16"/>
        <v>229425276</v>
      </c>
      <c r="KU26" s="28">
        <v>239866309.41368827</v>
      </c>
      <c r="KV26" s="28">
        <f>SUM(KV6:KV25)</f>
        <v>94967116</v>
      </c>
      <c r="KW26" s="28">
        <v>131674066.73842122</v>
      </c>
      <c r="KX26" s="28">
        <f>SUM(KX6:KX25)</f>
        <v>4747991.9641978256</v>
      </c>
      <c r="KY26" s="28">
        <v>4758928.0499999989</v>
      </c>
      <c r="KZ26" s="28">
        <f>SUM(KR26,KV26,KX26)</f>
        <v>99929255.975748464</v>
      </c>
      <c r="LA26" s="28">
        <f>SUM(KS26,KW26,KY26)</f>
        <v>136639152.33683458</v>
      </c>
      <c r="LB26" s="599"/>
      <c r="LC26" s="600"/>
      <c r="LD26" s="599"/>
      <c r="LE26" s="364">
        <f t="shared" si="71"/>
        <v>21</v>
      </c>
      <c r="LF26" s="365">
        <v>20</v>
      </c>
      <c r="LG26" s="411">
        <f t="shared" si="72"/>
        <v>1</v>
      </c>
      <c r="LH26" s="411">
        <f t="shared" si="72"/>
        <v>1.0406359427454466</v>
      </c>
      <c r="LI26" s="412">
        <v>106.45762205358784</v>
      </c>
      <c r="LJ26" s="343">
        <f t="shared" si="73"/>
        <v>5696371.4806177579</v>
      </c>
      <c r="LK26" s="412">
        <v>106.45762205358784</v>
      </c>
      <c r="LL26" s="560">
        <f t="shared" si="47"/>
        <v>298946.30360366264</v>
      </c>
      <c r="LM26" s="412">
        <v>106.45762205358784</v>
      </c>
      <c r="LN26" s="343">
        <f t="shared" si="48"/>
        <v>2072094.0041967786</v>
      </c>
      <c r="LO26" s="412">
        <v>118.614283549666</v>
      </c>
      <c r="LP26" s="560">
        <f t="shared" si="74"/>
        <v>2634488.8491165428</v>
      </c>
      <c r="LQ26" s="412">
        <v>119.48337591187899</v>
      </c>
      <c r="LR26" s="560">
        <f t="shared" si="49"/>
        <v>467352.03241998522</v>
      </c>
      <c r="LS26" s="412">
        <v>157.07111615098</v>
      </c>
      <c r="LT26" s="560">
        <f t="shared" si="50"/>
        <v>119206.76812507967</v>
      </c>
      <c r="LU26" s="412">
        <v>112.15574935818501</v>
      </c>
      <c r="LV26" s="560">
        <f t="shared" si="51"/>
        <v>1006166.0531643848</v>
      </c>
      <c r="LW26" s="412">
        <v>116.939890710382</v>
      </c>
      <c r="LX26" s="343">
        <f t="shared" si="52"/>
        <v>1406933.6878932579</v>
      </c>
      <c r="LY26" s="20">
        <f t="shared" si="53"/>
        <v>14171051.703217</v>
      </c>
      <c r="LZ26" s="20">
        <f t="shared" si="75"/>
        <v>13701559.17913745</v>
      </c>
      <c r="MA26" s="103"/>
      <c r="MD26" s="283">
        <v>21</v>
      </c>
      <c r="ME26" s="604" t="s">
        <v>72</v>
      </c>
      <c r="MF26" s="28">
        <f>SUM(MF6:MF25)</f>
        <v>102425948.06351028</v>
      </c>
      <c r="MG26" s="28">
        <f t="shared" ref="MG26:MK26" si="130">SUM(MG6:MG25)</f>
        <v>99929255.975748464</v>
      </c>
      <c r="MH26" s="497">
        <f t="shared" si="130"/>
        <v>136639152.33683458</v>
      </c>
      <c r="MI26" s="28">
        <f t="shared" si="130"/>
        <v>94716912.080556199</v>
      </c>
      <c r="MJ26" s="28">
        <f t="shared" si="130"/>
        <v>96946557.618657649</v>
      </c>
      <c r="MK26" s="497">
        <f t="shared" si="130"/>
        <v>94256584.799582675</v>
      </c>
      <c r="ML26" s="28">
        <f t="shared" si="55"/>
        <v>7709035.9829540849</v>
      </c>
      <c r="MM26" s="28">
        <f t="shared" si="55"/>
        <v>2982698.3570908159</v>
      </c>
      <c r="MN26" s="28">
        <f t="shared" si="55"/>
        <v>42382567.537251905</v>
      </c>
      <c r="MX26" s="338">
        <f>MX25+1</f>
        <v>20</v>
      </c>
      <c r="MY26" s="20" t="s">
        <v>257</v>
      </c>
      <c r="MZ26" s="20">
        <v>0</v>
      </c>
      <c r="NA26" s="414">
        <f>MZ26/$MZ$34*100</f>
        <v>0</v>
      </c>
      <c r="NB26" s="91"/>
      <c r="NC26" s="15">
        <f>MZ26</f>
        <v>0</v>
      </c>
      <c r="ND26" s="414">
        <f>NC26/$MZ$34*100</f>
        <v>0</v>
      </c>
      <c r="NH26" s="338">
        <f>NH25+1</f>
        <v>20</v>
      </c>
      <c r="NI26" s="20" t="s">
        <v>257</v>
      </c>
      <c r="NJ26" s="20">
        <v>0</v>
      </c>
      <c r="NK26" s="20">
        <f>MZ26</f>
        <v>0</v>
      </c>
      <c r="NL26" s="20">
        <f t="shared" si="77"/>
        <v>0</v>
      </c>
      <c r="NM26" s="352">
        <f>IFERROR(NL26/NJ26,0)</f>
        <v>0</v>
      </c>
    </row>
    <row r="27" spans="2:377" ht="17.25" thickBot="1" x14ac:dyDescent="0.35">
      <c r="G27" s="107"/>
      <c r="H27" s="107"/>
      <c r="I27" s="107"/>
      <c r="J27" s="107"/>
      <c r="K27" s="107"/>
      <c r="L27" s="107"/>
      <c r="O27" s="107"/>
      <c r="AL27" s="464"/>
      <c r="AN27" s="438"/>
      <c r="AS27" s="105"/>
      <c r="AT27" s="350"/>
      <c r="AV27" s="105"/>
      <c r="AW27" s="350"/>
      <c r="AX27" s="351"/>
      <c r="AZ27" s="105"/>
      <c r="BA27" s="350"/>
      <c r="BB27" s="351"/>
      <c r="BD27" s="105"/>
      <c r="BE27" s="350"/>
      <c r="BF27" s="351"/>
      <c r="BH27" s="105"/>
      <c r="BI27" s="350"/>
      <c r="BJ27" s="351"/>
      <c r="BL27" s="105"/>
      <c r="BM27" s="350"/>
      <c r="BN27" s="351"/>
      <c r="BP27" s="105"/>
      <c r="BQ27" s="350"/>
      <c r="BR27" s="351"/>
      <c r="BT27" s="105"/>
      <c r="BU27" s="350"/>
      <c r="BV27" s="351"/>
      <c r="BW27" s="351"/>
      <c r="BX27" s="351"/>
      <c r="BY27" s="351"/>
      <c r="BZ27" s="351"/>
      <c r="CA27" s="351"/>
      <c r="CB27" s="351"/>
      <c r="CC27" s="105"/>
      <c r="CE27" s="351"/>
      <c r="CF27" s="351"/>
      <c r="CG27" s="351"/>
      <c r="EA27" s="579"/>
      <c r="FG27" s="338">
        <f t="shared" si="84"/>
        <v>22</v>
      </c>
      <c r="FH27" s="360"/>
      <c r="FI27" s="361" t="s">
        <v>258</v>
      </c>
      <c r="FJ27" s="20">
        <v>0</v>
      </c>
      <c r="FK27" s="20">
        <v>0</v>
      </c>
      <c r="FL27" s="20">
        <v>8076.07</v>
      </c>
      <c r="FM27" s="343">
        <f t="shared" si="126"/>
        <v>8076.07</v>
      </c>
      <c r="FN27" s="20">
        <v>0</v>
      </c>
      <c r="FO27" s="20">
        <v>0</v>
      </c>
      <c r="FP27" s="20">
        <v>8076.07</v>
      </c>
      <c r="FQ27" s="20">
        <v>8076.07</v>
      </c>
      <c r="FR27" s="20">
        <v>8076.07</v>
      </c>
      <c r="FS27" s="103"/>
      <c r="FT27" s="408"/>
      <c r="HW27" s="605"/>
      <c r="IJ27" s="475"/>
      <c r="IK27" s="606">
        <v>22</v>
      </c>
      <c r="IL27" s="607" t="s">
        <v>259</v>
      </c>
      <c r="IM27" s="608"/>
      <c r="IN27" s="609"/>
      <c r="IO27" s="610">
        <f>IO26/IN26</f>
        <v>0.99171109634125654</v>
      </c>
      <c r="IP27" s="609"/>
      <c r="IQ27" s="610">
        <f>IQ26/IP26</f>
        <v>0.99961954050279778</v>
      </c>
      <c r="IR27" s="609"/>
      <c r="IS27" s="610">
        <f>IS26/IR26</f>
        <v>0.97242742901602464</v>
      </c>
      <c r="IT27" s="609"/>
      <c r="IU27" s="610">
        <f>IU26/IT26</f>
        <v>1.043477784873571</v>
      </c>
      <c r="IV27" s="609"/>
      <c r="IW27" s="611">
        <f>IW26/IV26</f>
        <v>0.97562441807994094</v>
      </c>
      <c r="IX27" s="612"/>
      <c r="IY27" s="613"/>
      <c r="IZ27" s="612"/>
      <c r="JA27" s="614">
        <v>22</v>
      </c>
      <c r="JB27" s="609" t="s">
        <v>259</v>
      </c>
      <c r="JC27" s="615"/>
      <c r="JD27" s="615"/>
      <c r="JE27" s="616"/>
      <c r="JF27" s="617">
        <f>JF26/JE26</f>
        <v>1.0167010383573241</v>
      </c>
      <c r="JG27" s="616"/>
      <c r="JH27" s="617">
        <f>JH26/JG26</f>
        <v>1.0213124125674944</v>
      </c>
      <c r="JI27" s="616"/>
      <c r="JJ27" s="617">
        <f>JJ26/JI26</f>
        <v>1.0275417059929359</v>
      </c>
      <c r="JK27" s="616"/>
      <c r="JL27" s="617">
        <f>JL26/JK26</f>
        <v>1.038275267463926</v>
      </c>
      <c r="JM27" s="618"/>
      <c r="JN27" s="617">
        <f>JN26/JM26</f>
        <v>1.0240095597551353</v>
      </c>
      <c r="JO27" s="618"/>
      <c r="JP27" s="617">
        <f>JP26/JO26</f>
        <v>1.0318235036068404</v>
      </c>
      <c r="JQ27" s="616"/>
      <c r="JR27" s="617">
        <f>JR26/JQ26</f>
        <v>1.0103301833561944</v>
      </c>
      <c r="JS27" s="616"/>
      <c r="JT27" s="617">
        <f>JT26/JS26</f>
        <v>1.0162509539210698</v>
      </c>
      <c r="JU27" s="618"/>
      <c r="JV27" s="619">
        <f>JV26/JU26</f>
        <v>1.0235400995358164</v>
      </c>
      <c r="JW27" s="619"/>
      <c r="JX27" s="351"/>
      <c r="JY27" s="464"/>
      <c r="KE27" s="350"/>
      <c r="KL27" s="620"/>
      <c r="KM27" s="621"/>
      <c r="KN27" s="549">
        <v>22</v>
      </c>
      <c r="KO27" s="622" t="s">
        <v>260</v>
      </c>
      <c r="KP27" s="622"/>
      <c r="KQ27" s="622"/>
      <c r="KR27" s="618"/>
      <c r="KS27" s="623">
        <f>KS26/KR26</f>
        <v>0.96268719434088845</v>
      </c>
      <c r="KT27" s="616"/>
      <c r="KU27" s="623">
        <f>KU26/KT26</f>
        <v>1.045509516630976</v>
      </c>
      <c r="KV27" s="616"/>
      <c r="KW27" s="623">
        <f>KW26/KV26</f>
        <v>1.386522748973668</v>
      </c>
      <c r="KX27" s="624"/>
      <c r="KY27" s="624">
        <f>KY26/KX26</f>
        <v>1.0023033075634156</v>
      </c>
      <c r="KZ27" s="616"/>
      <c r="LA27" s="624">
        <f>LA26/KZ26</f>
        <v>1.3673588480434111</v>
      </c>
      <c r="LB27" s="621"/>
      <c r="LC27" s="620"/>
      <c r="LD27" s="621"/>
      <c r="LE27" s="625">
        <f t="shared" si="71"/>
        <v>22</v>
      </c>
      <c r="LF27" s="626" t="s">
        <v>72</v>
      </c>
      <c r="LG27" s="627">
        <f t="shared" si="72"/>
        <v>1</v>
      </c>
      <c r="LH27" s="627">
        <f t="shared" si="72"/>
        <v>1.0406359427454466</v>
      </c>
      <c r="LI27" s="628"/>
      <c r="LJ27" s="629">
        <f>SUM(LJ7:LJ26)</f>
        <v>33975077.535708085</v>
      </c>
      <c r="LK27" s="630"/>
      <c r="LL27" s="631">
        <f>SUM(LL7:LL26)</f>
        <v>2035083.754130634</v>
      </c>
      <c r="LM27" s="632"/>
      <c r="LN27" s="629">
        <f>SUM(LN7:LN26)</f>
        <v>15711197.861928774</v>
      </c>
      <c r="LO27" s="633"/>
      <c r="LP27" s="631">
        <f>SUM(LP7:LP26)</f>
        <v>22755368.059679482</v>
      </c>
      <c r="LQ27" s="634"/>
      <c r="LR27" s="631">
        <f>SUM(LR7:LR26)</f>
        <v>2332578.6520347786</v>
      </c>
      <c r="LS27" s="634"/>
      <c r="LT27" s="631">
        <f>SUM(LT7:LT26)</f>
        <v>1254716.795543575</v>
      </c>
      <c r="LU27" s="634"/>
      <c r="LV27" s="631">
        <f>SUM(LV7:LV26)</f>
        <v>5512122.4121842906</v>
      </c>
      <c r="LW27" s="634"/>
      <c r="LX27" s="629">
        <f>SUM(LX7:LX26)</f>
        <v>10680439.72837303</v>
      </c>
      <c r="LY27" s="631"/>
      <c r="LZ27" s="631">
        <f>LJ27+LL27+LN27+LP27+LV27+LX27+LR27+LT27</f>
        <v>94256584.79958266</v>
      </c>
      <c r="MA27" s="103"/>
      <c r="MB27" s="635"/>
      <c r="MD27" s="475"/>
      <c r="MF27" s="636" t="s">
        <v>261</v>
      </c>
      <c r="MG27" s="637"/>
      <c r="MH27" s="305"/>
      <c r="MI27" s="305"/>
      <c r="MJ27" s="305"/>
      <c r="MK27" s="305"/>
      <c r="ML27" s="305"/>
      <c r="MM27" s="305"/>
      <c r="MN27" s="305">
        <f>MN26-MM26</f>
        <v>39399869.180161089</v>
      </c>
      <c r="MX27" s="483">
        <f>MX26+1</f>
        <v>21</v>
      </c>
      <c r="MY27" s="32" t="s">
        <v>262</v>
      </c>
      <c r="MZ27" s="32">
        <v>0</v>
      </c>
      <c r="NA27" s="638">
        <f>MZ27/$MZ$34*100</f>
        <v>0</v>
      </c>
      <c r="NB27" s="382"/>
      <c r="NC27" s="26">
        <f>MZ27</f>
        <v>0</v>
      </c>
      <c r="ND27" s="638">
        <f>NC27/$MZ$34*100</f>
        <v>0</v>
      </c>
      <c r="NH27" s="483">
        <f>NH26+1</f>
        <v>21</v>
      </c>
      <c r="NI27" s="32" t="s">
        <v>262</v>
      </c>
      <c r="NJ27" s="32">
        <v>0</v>
      </c>
      <c r="NK27" s="32">
        <v>0</v>
      </c>
      <c r="NL27" s="32">
        <f t="shared" si="77"/>
        <v>0</v>
      </c>
      <c r="NM27" s="575">
        <f>IFERROR(NL27/NJ27,0)</f>
        <v>0</v>
      </c>
    </row>
    <row r="28" spans="2:377" ht="17.25" thickBot="1" x14ac:dyDescent="0.35">
      <c r="AL28" s="464"/>
      <c r="AN28" s="438"/>
      <c r="AS28" s="105"/>
      <c r="AT28" s="350"/>
      <c r="AV28" s="105"/>
      <c r="AW28" s="350"/>
      <c r="AX28" s="351"/>
      <c r="AZ28" s="105"/>
      <c r="BA28" s="350"/>
      <c r="BB28" s="351"/>
      <c r="BD28" s="105"/>
      <c r="BE28" s="350"/>
      <c r="BF28" s="351"/>
      <c r="BH28" s="105"/>
      <c r="BI28" s="350"/>
      <c r="BJ28" s="351"/>
      <c r="BL28" s="105"/>
      <c r="BM28" s="350"/>
      <c r="BN28" s="351"/>
      <c r="BP28" s="105"/>
      <c r="BQ28" s="350"/>
      <c r="BR28" s="351"/>
      <c r="BT28" s="105"/>
      <c r="BU28" s="350"/>
      <c r="BV28" s="351"/>
      <c r="BW28" s="351"/>
      <c r="BX28" s="351"/>
      <c r="BY28" s="351"/>
      <c r="BZ28" s="351"/>
      <c r="CA28" s="351"/>
      <c r="CB28" s="351"/>
      <c r="CC28" s="105"/>
      <c r="CE28" s="351"/>
      <c r="CF28" s="351"/>
      <c r="CG28" s="351"/>
      <c r="FG28" s="283">
        <f t="shared" si="84"/>
        <v>23</v>
      </c>
      <c r="FH28" s="406"/>
      <c r="FI28" s="407" t="s">
        <v>263</v>
      </c>
      <c r="FJ28" s="17">
        <v>78564</v>
      </c>
      <c r="FK28" s="17">
        <v>249993.75</v>
      </c>
      <c r="FL28" s="17">
        <v>20068</v>
      </c>
      <c r="FM28" s="290">
        <f t="shared" si="126"/>
        <v>348625.75</v>
      </c>
      <c r="FN28" s="17">
        <v>0</v>
      </c>
      <c r="FO28" s="17">
        <v>0</v>
      </c>
      <c r="FP28" s="17">
        <v>0</v>
      </c>
      <c r="FQ28" s="17">
        <v>0</v>
      </c>
      <c r="FR28" s="17">
        <v>0</v>
      </c>
      <c r="FS28" s="103"/>
      <c r="FT28" s="408"/>
      <c r="II28" s="595"/>
      <c r="IQ28" s="537"/>
      <c r="IS28" s="537"/>
      <c r="IT28" s="537"/>
      <c r="IU28" s="537"/>
      <c r="IW28" s="537"/>
      <c r="JU28" s="639"/>
      <c r="KL28" s="640"/>
      <c r="KM28" s="641"/>
      <c r="KU28" s="537"/>
      <c r="KZ28" s="641"/>
      <c r="LA28" s="641"/>
      <c r="LB28" s="641"/>
      <c r="LC28" s="640"/>
      <c r="LD28" s="641"/>
      <c r="LE28" s="642">
        <f t="shared" si="71"/>
        <v>23</v>
      </c>
      <c r="LF28" s="622" t="s">
        <v>260</v>
      </c>
      <c r="LG28" s="643"/>
      <c r="LH28" s="644"/>
      <c r="LI28" s="645">
        <f>JF26</f>
        <v>36992330.313946411</v>
      </c>
      <c r="LJ28" s="623">
        <f>LJ27/LI28</f>
        <v>0.91843572025250875</v>
      </c>
      <c r="LK28" s="645">
        <f>JH26</f>
        <v>2193064.0614437284</v>
      </c>
      <c r="LL28" s="623">
        <f>LL27/LK28</f>
        <v>0.9279636604828162</v>
      </c>
      <c r="LM28" s="645">
        <f>JJ26</f>
        <v>17704130.732731506</v>
      </c>
      <c r="LN28" s="623">
        <f>LN27/LM28</f>
        <v>0.8874311932684622</v>
      </c>
      <c r="LO28" s="623"/>
      <c r="LP28" s="623">
        <f>LP27/JL26</f>
        <v>1.0454682727600695</v>
      </c>
      <c r="LQ28" s="645">
        <f>JN26</f>
        <v>2144213.8135649599</v>
      </c>
      <c r="LR28" s="623">
        <f>LR27/LQ28</f>
        <v>1.0878479735920759</v>
      </c>
      <c r="LS28" s="645">
        <f>JP26</f>
        <v>1322857.4076787899</v>
      </c>
      <c r="LT28" s="623">
        <f>LT27/LS28</f>
        <v>0.94848982835211171</v>
      </c>
      <c r="LU28" s="645">
        <f>JR26</f>
        <v>4997847.5990450596</v>
      </c>
      <c r="LV28" s="623">
        <f>LV27/LU28</f>
        <v>1.1028992587203927</v>
      </c>
      <c r="LW28" s="645">
        <f>JT26</f>
        <v>9826395.2532786801</v>
      </c>
      <c r="LX28" s="623">
        <f>LX27/LW28</f>
        <v>1.0869133037172904</v>
      </c>
      <c r="LY28" s="645">
        <f>JV26</f>
        <v>96946557.618657649</v>
      </c>
      <c r="LZ28" s="624">
        <f>LZ27/LY28</f>
        <v>0.97225303419584963</v>
      </c>
      <c r="MA28" s="646"/>
      <c r="MX28" s="338">
        <f t="shared" ref="MX28:MX31" si="131">MX27+1</f>
        <v>22</v>
      </c>
      <c r="MY28" s="647" t="s">
        <v>264</v>
      </c>
      <c r="MZ28" s="648">
        <f>SUM(MZ25:MZ27)</f>
        <v>113048749.3950765</v>
      </c>
      <c r="NA28" s="649">
        <f>MZ28/$MZ$34*100</f>
        <v>5.1424631671541885</v>
      </c>
      <c r="NB28" s="474"/>
      <c r="NC28" s="650">
        <f>SUM(NC25:NC27)</f>
        <v>113048749.3950765</v>
      </c>
      <c r="ND28" s="649">
        <f>NC28/$MZ$34*100</f>
        <v>5.1424631671541885</v>
      </c>
      <c r="NH28" s="338">
        <f t="shared" ref="NH28:NH32" si="132">NH27+1</f>
        <v>22</v>
      </c>
      <c r="NI28" s="647" t="s">
        <v>264</v>
      </c>
      <c r="NJ28" s="33">
        <v>137621699.16939428</v>
      </c>
      <c r="NK28" s="648">
        <f>NK25+NK26+NK27</f>
        <v>113048749.3950765</v>
      </c>
      <c r="NL28" s="479">
        <f t="shared" si="77"/>
        <v>-24572949.774317786</v>
      </c>
      <c r="NM28" s="352">
        <f t="shared" si="78"/>
        <v>-0.17855432626268988</v>
      </c>
    </row>
    <row r="29" spans="2:377" x14ac:dyDescent="0.3">
      <c r="AL29" s="464"/>
      <c r="AN29" s="438"/>
      <c r="AS29" s="105"/>
      <c r="AT29" s="350"/>
      <c r="AV29" s="105"/>
      <c r="AW29" s="350"/>
      <c r="AX29" s="351"/>
      <c r="AZ29" s="105"/>
      <c r="BA29" s="350"/>
      <c r="BB29" s="351"/>
      <c r="BD29" s="105"/>
      <c r="BE29" s="350"/>
      <c r="BF29" s="351"/>
      <c r="BH29" s="105"/>
      <c r="BI29" s="350"/>
      <c r="BJ29" s="351"/>
      <c r="BL29" s="105"/>
      <c r="BM29" s="350"/>
      <c r="BN29" s="351"/>
      <c r="BP29" s="105"/>
      <c r="BQ29" s="350"/>
      <c r="BR29" s="351"/>
      <c r="BT29" s="105"/>
      <c r="BU29" s="350"/>
      <c r="BV29" s="351"/>
      <c r="BW29" s="351"/>
      <c r="BX29" s="351"/>
      <c r="BY29" s="351"/>
      <c r="BZ29" s="351"/>
      <c r="CA29" s="351"/>
      <c r="CB29" s="351"/>
      <c r="CC29" s="105"/>
      <c r="CE29" s="351"/>
      <c r="CF29" s="351"/>
      <c r="CG29" s="351"/>
      <c r="FG29" s="338">
        <f t="shared" si="84"/>
        <v>24</v>
      </c>
      <c r="FH29" s="360"/>
      <c r="FI29" s="361" t="s">
        <v>265</v>
      </c>
      <c r="FJ29" s="20">
        <v>28.81</v>
      </c>
      <c r="FK29" s="20">
        <v>30975.599999999999</v>
      </c>
      <c r="FL29" s="20">
        <v>53054.5</v>
      </c>
      <c r="FM29" s="343">
        <f t="shared" si="126"/>
        <v>84058.91</v>
      </c>
      <c r="FN29" s="20">
        <v>28.81</v>
      </c>
      <c r="FO29" s="20">
        <v>30975.599999999999</v>
      </c>
      <c r="FP29" s="20">
        <v>53054.5</v>
      </c>
      <c r="FQ29" s="20">
        <v>84058.91</v>
      </c>
      <c r="FR29" s="20">
        <v>84058.91</v>
      </c>
      <c r="FS29" s="103"/>
      <c r="FT29" s="408"/>
      <c r="JX29" s="351"/>
      <c r="JY29" s="464"/>
      <c r="KL29" s="640"/>
      <c r="KM29" s="641"/>
      <c r="KN29" s="641"/>
      <c r="KO29" s="641"/>
      <c r="KP29" s="641"/>
      <c r="KQ29" s="641"/>
      <c r="KR29" s="641"/>
      <c r="KT29" s="641"/>
      <c r="KU29" s="651"/>
      <c r="KV29" s="641"/>
      <c r="KW29" s="651"/>
      <c r="KX29" s="651"/>
      <c r="KY29" s="651"/>
      <c r="KZ29" s="641"/>
      <c r="LA29" s="641"/>
      <c r="LB29" s="641"/>
      <c r="LC29" s="640"/>
      <c r="LD29" s="641"/>
      <c r="LJ29" s="351"/>
      <c r="LL29" s="351"/>
      <c r="LN29" s="351"/>
      <c r="LO29" s="351"/>
      <c r="LP29" s="351"/>
      <c r="LQ29" s="351"/>
      <c r="LR29" s="351"/>
      <c r="LS29" s="351"/>
      <c r="LT29" s="351"/>
      <c r="LV29" s="351"/>
      <c r="LX29" s="351"/>
      <c r="LZ29" s="351"/>
      <c r="MA29" s="107"/>
      <c r="MX29" s="283">
        <f t="shared" si="131"/>
        <v>23</v>
      </c>
      <c r="MY29" s="444" t="s">
        <v>266</v>
      </c>
      <c r="MZ29" s="652">
        <f>MZ11</f>
        <v>4758928.0499999989</v>
      </c>
      <c r="NA29" s="509">
        <f t="shared" ref="NA29" si="133">MZ29/$MZ$34*100</f>
        <v>0.2164783984185121</v>
      </c>
      <c r="NB29" s="652">
        <f t="shared" ref="NB29:NC29" si="134">NB11</f>
        <v>0</v>
      </c>
      <c r="NC29" s="653">
        <f t="shared" si="134"/>
        <v>4758928.0499999989</v>
      </c>
      <c r="ND29" s="509">
        <f t="shared" ref="ND29" si="135">NC29/$MZ$34*100</f>
        <v>0.2164783984185121</v>
      </c>
      <c r="NH29" s="283">
        <f t="shared" si="132"/>
        <v>23</v>
      </c>
      <c r="NI29" s="444" t="s">
        <v>266</v>
      </c>
      <c r="NJ29" s="34">
        <v>4822773.09</v>
      </c>
      <c r="NK29" s="652">
        <f>MZ29</f>
        <v>4758928.0499999989</v>
      </c>
      <c r="NL29" s="28">
        <f t="shared" si="77"/>
        <v>-63845.040000000969</v>
      </c>
      <c r="NM29" s="395">
        <f t="shared" si="78"/>
        <v>-1.3238242564715183E-2</v>
      </c>
    </row>
    <row r="30" spans="2:377" x14ac:dyDescent="0.3">
      <c r="AL30" s="464"/>
      <c r="AN30" s="438"/>
      <c r="AS30" s="105"/>
      <c r="AT30" s="350"/>
      <c r="AV30" s="105"/>
      <c r="AW30" s="350"/>
      <c r="AX30" s="351"/>
      <c r="AZ30" s="105"/>
      <c r="BA30" s="350"/>
      <c r="BB30" s="351"/>
      <c r="BD30" s="105"/>
      <c r="BE30" s="350"/>
      <c r="BF30" s="351"/>
      <c r="BH30" s="105"/>
      <c r="BI30" s="350"/>
      <c r="BJ30" s="351"/>
      <c r="BL30" s="105"/>
      <c r="BM30" s="350"/>
      <c r="BN30" s="351"/>
      <c r="BP30" s="105"/>
      <c r="BQ30" s="350"/>
      <c r="BR30" s="351"/>
      <c r="BT30" s="105"/>
      <c r="BU30" s="350"/>
      <c r="BV30" s="351"/>
      <c r="BW30" s="351"/>
      <c r="BX30" s="351"/>
      <c r="BY30" s="351"/>
      <c r="BZ30" s="351"/>
      <c r="CA30" s="351"/>
      <c r="CB30" s="351"/>
      <c r="CC30" s="105"/>
      <c r="CE30" s="351"/>
      <c r="CF30" s="351"/>
      <c r="CG30" s="351"/>
      <c r="FG30" s="283">
        <f t="shared" si="84"/>
        <v>25</v>
      </c>
      <c r="FH30" s="406"/>
      <c r="FI30" s="407" t="s">
        <v>267</v>
      </c>
      <c r="FJ30" s="17">
        <v>265316.65460000001</v>
      </c>
      <c r="FK30" s="17">
        <v>40329.020000000004</v>
      </c>
      <c r="FL30" s="17">
        <v>139233.63999999998</v>
      </c>
      <c r="FM30" s="290">
        <f t="shared" si="126"/>
        <v>444879.31460000004</v>
      </c>
      <c r="FN30" s="17">
        <v>266750.55460000003</v>
      </c>
      <c r="FO30" s="17">
        <v>40329.020000000011</v>
      </c>
      <c r="FP30" s="17">
        <v>139233.64000000001</v>
      </c>
      <c r="FQ30" s="17">
        <v>446313.21460000006</v>
      </c>
      <c r="FR30" s="17">
        <v>446313.21460000006</v>
      </c>
      <c r="FS30" s="103"/>
      <c r="FT30" s="408"/>
      <c r="JE30" s="20"/>
      <c r="JF30" s="20"/>
      <c r="JG30" s="20"/>
      <c r="JH30" s="20"/>
      <c r="KL30" s="640"/>
      <c r="KM30" s="641"/>
      <c r="KN30" s="279"/>
      <c r="KO30" s="279"/>
      <c r="KP30" s="279"/>
      <c r="KQ30" s="279"/>
      <c r="KR30" s="279"/>
      <c r="KS30" s="279"/>
      <c r="KT30" s="279"/>
      <c r="KU30" s="279"/>
      <c r="KV30" s="279"/>
      <c r="KW30" s="279"/>
      <c r="KX30" s="279"/>
      <c r="KY30" s="279"/>
      <c r="KZ30" s="279"/>
      <c r="LA30" s="279"/>
      <c r="LB30" s="641"/>
      <c r="LC30" s="640"/>
      <c r="LD30" s="641"/>
      <c r="LE30" s="279"/>
      <c r="LF30" s="279"/>
      <c r="LG30" s="279"/>
      <c r="LH30" s="279"/>
      <c r="LI30" s="279"/>
      <c r="LJ30" s="654"/>
      <c r="LK30" s="654"/>
      <c r="LL30" s="655"/>
      <c r="LM30" s="279"/>
      <c r="LN30" s="655"/>
      <c r="LO30" s="655"/>
      <c r="LP30" s="279"/>
      <c r="LU30" s="103"/>
      <c r="MA30" s="107"/>
      <c r="MX30" s="338">
        <f t="shared" si="131"/>
        <v>24</v>
      </c>
      <c r="MY30" s="647" t="s">
        <v>268</v>
      </c>
      <c r="MZ30" s="648">
        <f>MZ28-MZ29</f>
        <v>108289821.3450765</v>
      </c>
      <c r="NA30" s="952">
        <f>MZ30/$MZ$34*100</f>
        <v>4.9259847687356766</v>
      </c>
      <c r="NB30" s="474"/>
      <c r="NC30" s="650">
        <f>NC28-NC29</f>
        <v>108289821.3450765</v>
      </c>
      <c r="ND30" s="649">
        <f>NC30/$MZ$34*100</f>
        <v>4.9259847687356766</v>
      </c>
      <c r="NH30" s="338">
        <f t="shared" si="132"/>
        <v>24</v>
      </c>
      <c r="NI30" s="647" t="s">
        <v>268</v>
      </c>
      <c r="NJ30" s="33">
        <v>132798926.07939428</v>
      </c>
      <c r="NK30" s="648">
        <f>MZ30</f>
        <v>108289821.3450765</v>
      </c>
      <c r="NL30" s="479">
        <f t="shared" si="77"/>
        <v>-24509104.73431778</v>
      </c>
      <c r="NM30" s="352">
        <f t="shared" si="78"/>
        <v>-0.1845580040283227</v>
      </c>
    </row>
    <row r="31" spans="2:377" x14ac:dyDescent="0.3">
      <c r="P31" s="656"/>
      <c r="Q31" s="656"/>
      <c r="R31" s="656"/>
      <c r="AL31" s="464"/>
      <c r="AN31" s="576"/>
      <c r="AO31" s="577"/>
      <c r="AQ31" s="91"/>
      <c r="AT31" s="578"/>
      <c r="AU31" s="91"/>
      <c r="AW31" s="578"/>
      <c r="AX31" s="578"/>
      <c r="AY31" s="91"/>
      <c r="BA31" s="578"/>
      <c r="BB31" s="578"/>
      <c r="BC31" s="91"/>
      <c r="BE31" s="578"/>
      <c r="BF31" s="578"/>
      <c r="BG31" s="91"/>
      <c r="BI31" s="578"/>
      <c r="BJ31" s="578"/>
      <c r="BK31" s="91"/>
      <c r="BM31" s="578"/>
      <c r="BN31" s="578"/>
      <c r="BO31" s="91"/>
      <c r="BQ31" s="578"/>
      <c r="BR31" s="578"/>
      <c r="BS31" s="91"/>
      <c r="BU31" s="578"/>
      <c r="BV31" s="578"/>
      <c r="BW31" s="578"/>
      <c r="BX31" s="578"/>
      <c r="BY31" s="578"/>
      <c r="BZ31" s="578"/>
      <c r="CA31" s="578"/>
      <c r="CB31" s="578"/>
      <c r="CD31" s="578"/>
      <c r="CE31" s="578"/>
      <c r="CF31" s="578"/>
      <c r="CG31" s="578"/>
      <c r="FG31" s="446">
        <f t="shared" si="84"/>
        <v>26</v>
      </c>
      <c r="FH31" s="657"/>
      <c r="FI31" s="658" t="s">
        <v>239</v>
      </c>
      <c r="FJ31" s="479">
        <f>SUM(FJ26:FJ30)</f>
        <v>345522.09460000001</v>
      </c>
      <c r="FK31" s="479">
        <f>SUM(FK26:FK30)</f>
        <v>375848.41</v>
      </c>
      <c r="FL31" s="479">
        <f>SUM(FL26:FL30)</f>
        <v>220432.21</v>
      </c>
      <c r="FM31" s="501">
        <f t="shared" si="126"/>
        <v>941802.71460000006</v>
      </c>
      <c r="FN31" s="479">
        <v>268391.99460000003</v>
      </c>
      <c r="FO31" s="479">
        <v>125854.66</v>
      </c>
      <c r="FP31" s="479">
        <v>200364.21000000002</v>
      </c>
      <c r="FQ31" s="479">
        <v>594610.86460000009</v>
      </c>
      <c r="FR31" s="479">
        <v>594610.86460000009</v>
      </c>
      <c r="FS31" s="103"/>
      <c r="FT31" s="408"/>
      <c r="JE31" s="20"/>
      <c r="JF31" s="20"/>
      <c r="JG31" s="20"/>
      <c r="JH31" s="20"/>
      <c r="JI31" s="344"/>
      <c r="JJ31" s="518"/>
      <c r="KN31" s="279"/>
      <c r="KO31" s="279"/>
      <c r="KP31" s="279"/>
      <c r="KQ31" s="279"/>
      <c r="KR31" s="279"/>
      <c r="KS31" s="279"/>
      <c r="KT31" s="279"/>
      <c r="KU31" s="279"/>
      <c r="KV31" s="279"/>
      <c r="KW31" s="279"/>
      <c r="KX31" s="279"/>
      <c r="KY31" s="279"/>
      <c r="KZ31" s="279"/>
      <c r="LA31" s="279"/>
      <c r="LL31" s="518"/>
      <c r="LN31" s="518"/>
      <c r="LO31" s="518"/>
      <c r="MA31" s="107"/>
      <c r="MX31" s="283">
        <f t="shared" si="131"/>
        <v>25</v>
      </c>
      <c r="MY31" s="32" t="s">
        <v>269</v>
      </c>
      <c r="MZ31" s="32">
        <v>136637688.37609816</v>
      </c>
      <c r="NA31" s="638">
        <f>MZ31/$MZ$34*100</f>
        <v>6.2154980349546332</v>
      </c>
      <c r="NB31" s="97"/>
      <c r="NC31" s="26"/>
      <c r="ND31" s="660"/>
      <c r="NH31" s="483">
        <f>NH30+1</f>
        <v>25</v>
      </c>
      <c r="NI31" s="32" t="str">
        <f>MY31</f>
        <v>Total Revenue at Current Rates</v>
      </c>
      <c r="NJ31" s="32">
        <v>106708111.01526074</v>
      </c>
      <c r="NK31" s="32">
        <f>MZ31</f>
        <v>136637688.37609816</v>
      </c>
      <c r="NL31" s="32">
        <f t="shared" si="77"/>
        <v>29929577.360837415</v>
      </c>
      <c r="NM31" s="575">
        <f t="shared" si="78"/>
        <v>0.28048080952868776</v>
      </c>
    </row>
    <row r="32" spans="2:377" x14ac:dyDescent="0.3">
      <c r="AL32" s="464"/>
      <c r="AN32" s="438"/>
      <c r="AT32" s="661"/>
      <c r="AW32" s="661"/>
      <c r="AX32" s="351"/>
      <c r="BA32" s="661"/>
      <c r="BB32" s="351"/>
      <c r="BE32" s="661"/>
      <c r="BF32" s="351"/>
      <c r="BI32" s="661"/>
      <c r="BJ32" s="351"/>
      <c r="BM32" s="661"/>
      <c r="BN32" s="351"/>
      <c r="BQ32" s="661"/>
      <c r="BR32" s="351"/>
      <c r="BU32" s="661"/>
      <c r="BV32" s="351"/>
      <c r="BW32" s="351"/>
      <c r="BX32" s="351"/>
      <c r="BY32" s="351"/>
      <c r="BZ32" s="351"/>
      <c r="CA32" s="351"/>
      <c r="CB32" s="351"/>
      <c r="CD32" s="661"/>
      <c r="CE32" s="351"/>
      <c r="CF32" s="351"/>
      <c r="CG32" s="351"/>
      <c r="FG32" s="283">
        <f t="shared" si="84"/>
        <v>27</v>
      </c>
      <c r="FH32" s="285" t="s">
        <v>270</v>
      </c>
      <c r="FI32" s="297"/>
      <c r="FJ32" s="662"/>
      <c r="FK32" s="662"/>
      <c r="FL32" s="662"/>
      <c r="FM32" s="663"/>
      <c r="FN32" s="662"/>
      <c r="FO32" s="662"/>
      <c r="FP32" s="662"/>
      <c r="FQ32" s="662"/>
      <c r="FR32" s="662"/>
      <c r="FS32" s="103"/>
      <c r="FT32" s="408"/>
      <c r="JE32" s="20"/>
      <c r="JF32" s="20"/>
      <c r="JG32" s="20"/>
      <c r="JH32" s="20"/>
      <c r="JI32" s="344"/>
      <c r="KM32" s="279"/>
      <c r="KN32" s="279"/>
      <c r="KO32" s="279"/>
      <c r="KP32" s="279"/>
      <c r="KQ32" s="279"/>
      <c r="KR32" s="279"/>
      <c r="KS32" s="279"/>
      <c r="KT32" s="279"/>
      <c r="KU32" s="279"/>
      <c r="KV32" s="279"/>
      <c r="KW32" s="279"/>
      <c r="KX32" s="279"/>
      <c r="KY32" s="279"/>
      <c r="KZ32" s="279"/>
      <c r="LA32" s="279"/>
      <c r="LB32" s="279"/>
      <c r="LC32" s="664"/>
      <c r="LD32" s="279"/>
      <c r="LL32" s="518"/>
      <c r="LN32" s="518"/>
      <c r="LO32" s="518"/>
      <c r="MA32" s="351"/>
      <c r="MX32" s="446">
        <f>MX31+1</f>
        <v>26</v>
      </c>
      <c r="MY32" s="665" t="s">
        <v>271</v>
      </c>
      <c r="MZ32" s="665">
        <f>MZ30/MZ9-1</f>
        <v>-0.17759188253674119</v>
      </c>
      <c r="NA32" s="665"/>
      <c r="NB32" s="453"/>
      <c r="NC32" s="666">
        <f>(NC9)/NC30-1</f>
        <v>0</v>
      </c>
      <c r="ND32" s="665"/>
      <c r="NH32" s="446">
        <f t="shared" si="132"/>
        <v>26</v>
      </c>
      <c r="NI32" s="665" t="str">
        <f>MY32</f>
        <v>Proposed Rate Increase</v>
      </c>
      <c r="NJ32" s="36">
        <v>0.31098299636767157</v>
      </c>
      <c r="NK32" s="665">
        <f>MZ32</f>
        <v>-0.17759188253674119</v>
      </c>
      <c r="NL32" s="665">
        <f t="shared" si="77"/>
        <v>-0.48857487890441276</v>
      </c>
      <c r="NM32" s="667"/>
    </row>
    <row r="33" spans="38:377" x14ac:dyDescent="0.3">
      <c r="AL33" s="464"/>
      <c r="AN33" s="438"/>
      <c r="AT33" s="661"/>
      <c r="AW33" s="661"/>
      <c r="AX33" s="351"/>
      <c r="BA33" s="661"/>
      <c r="BB33" s="351"/>
      <c r="BE33" s="661"/>
      <c r="BF33" s="351"/>
      <c r="BI33" s="661"/>
      <c r="BJ33" s="351"/>
      <c r="BM33" s="661"/>
      <c r="BN33" s="351"/>
      <c r="BQ33" s="661"/>
      <c r="BR33" s="351"/>
      <c r="BU33" s="661"/>
      <c r="BV33" s="351"/>
      <c r="BW33" s="351"/>
      <c r="BX33" s="351"/>
      <c r="BY33" s="351"/>
      <c r="BZ33" s="351"/>
      <c r="CA33" s="351"/>
      <c r="CB33" s="351"/>
      <c r="CD33" s="661"/>
      <c r="CE33" s="351"/>
      <c r="CF33" s="351"/>
      <c r="CG33" s="351"/>
      <c r="EB33" s="668"/>
      <c r="FG33" s="338">
        <f t="shared" si="84"/>
        <v>28</v>
      </c>
      <c r="FH33" s="360"/>
      <c r="FI33" s="361" t="s">
        <v>272</v>
      </c>
      <c r="FJ33" s="20">
        <v>18180.79</v>
      </c>
      <c r="FK33" s="20">
        <v>0</v>
      </c>
      <c r="FL33" s="20">
        <v>511037.56</v>
      </c>
      <c r="FM33" s="343">
        <f>FJ33+FL33+FK33</f>
        <v>529218.35</v>
      </c>
      <c r="FN33" s="20">
        <v>18180.79</v>
      </c>
      <c r="FO33" s="20">
        <v>0</v>
      </c>
      <c r="FP33" s="20">
        <v>511037.56000000006</v>
      </c>
      <c r="FQ33" s="20">
        <v>529218.35000000009</v>
      </c>
      <c r="FR33" s="20">
        <v>529218.35000000009</v>
      </c>
      <c r="FT33" s="408"/>
      <c r="JH33" s="518"/>
      <c r="JJ33" s="518"/>
      <c r="KL33" s="669"/>
      <c r="KM33" s="670"/>
      <c r="KN33" s="279"/>
      <c r="KO33" s="279"/>
      <c r="KP33" s="279"/>
      <c r="KQ33" s="279"/>
      <c r="KR33" s="279"/>
      <c r="KS33" s="279"/>
      <c r="KT33" s="279"/>
      <c r="KU33" s="279"/>
      <c r="KV33" s="279"/>
      <c r="KW33" s="279"/>
      <c r="KX33" s="279"/>
      <c r="KY33" s="279"/>
      <c r="KZ33" s="279"/>
      <c r="LA33" s="279"/>
      <c r="LB33" s="670"/>
      <c r="LC33" s="669"/>
      <c r="LD33" s="670"/>
      <c r="LL33" s="518"/>
      <c r="LN33" s="518"/>
      <c r="LO33" s="518"/>
      <c r="MX33" s="88" t="s">
        <v>241</v>
      </c>
      <c r="MY33" s="88"/>
      <c r="MZ33" s="88"/>
      <c r="NA33" s="88"/>
      <c r="NB33" s="88"/>
      <c r="NC33" s="88"/>
      <c r="ND33" s="88"/>
      <c r="NH33" s="88" t="s">
        <v>241</v>
      </c>
      <c r="NI33" s="461"/>
      <c r="NJ33" s="461"/>
      <c r="NK33" s="461"/>
      <c r="NL33" s="671"/>
      <c r="NM33" s="671"/>
    </row>
    <row r="34" spans="38:377" x14ac:dyDescent="0.3">
      <c r="AL34" s="464"/>
      <c r="AN34" s="438"/>
      <c r="AT34" s="661"/>
      <c r="AW34" s="661"/>
      <c r="AX34" s="351"/>
      <c r="BA34" s="661"/>
      <c r="BB34" s="351"/>
      <c r="BE34" s="661"/>
      <c r="BF34" s="351"/>
      <c r="BI34" s="661"/>
      <c r="BJ34" s="351"/>
      <c r="BM34" s="661"/>
      <c r="BN34" s="351"/>
      <c r="BQ34" s="661"/>
      <c r="BR34" s="351"/>
      <c r="BU34" s="661"/>
      <c r="BV34" s="351"/>
      <c r="BW34" s="351"/>
      <c r="BX34" s="351"/>
      <c r="BY34" s="351"/>
      <c r="BZ34" s="351"/>
      <c r="CA34" s="351"/>
      <c r="CB34" s="351"/>
      <c r="CD34" s="661"/>
      <c r="CE34" s="351"/>
      <c r="CF34" s="351"/>
      <c r="CG34" s="351"/>
      <c r="FG34" s="283">
        <f t="shared" si="84"/>
        <v>29</v>
      </c>
      <c r="FH34" s="406"/>
      <c r="FI34" s="407" t="s">
        <v>273</v>
      </c>
      <c r="FJ34" s="17">
        <v>26603.350000000002</v>
      </c>
      <c r="FK34" s="17">
        <v>172158.89</v>
      </c>
      <c r="FL34" s="17">
        <v>314965.26</v>
      </c>
      <c r="FM34" s="290">
        <f>FJ34+FL34+FK34</f>
        <v>513727.5</v>
      </c>
      <c r="FN34" s="17">
        <v>26603.35</v>
      </c>
      <c r="FO34" s="17">
        <v>172158.88999999998</v>
      </c>
      <c r="FP34" s="17">
        <v>282086.93</v>
      </c>
      <c r="FQ34" s="17">
        <v>480849.16999999993</v>
      </c>
      <c r="FR34" s="17">
        <v>480849.16999999993</v>
      </c>
      <c r="FS34" s="103"/>
      <c r="FT34" s="408"/>
      <c r="JH34" s="518"/>
      <c r="JJ34" s="518"/>
      <c r="KL34" s="143"/>
      <c r="KM34" s="109"/>
      <c r="KN34" s="279"/>
      <c r="KO34" s="279"/>
      <c r="KP34" s="279"/>
      <c r="KQ34" s="279"/>
      <c r="KR34" s="279"/>
      <c r="KS34" s="279"/>
      <c r="KT34" s="279"/>
      <c r="KU34" s="279"/>
      <c r="KV34" s="279"/>
      <c r="KW34" s="279"/>
      <c r="KX34" s="279"/>
      <c r="KY34" s="279"/>
      <c r="KZ34" s="279"/>
      <c r="LA34" s="279"/>
      <c r="LB34" s="109"/>
      <c r="LC34" s="110"/>
      <c r="LD34" s="109"/>
      <c r="LL34" s="518"/>
      <c r="LN34" s="518"/>
      <c r="LO34" s="518"/>
      <c r="MX34" s="283">
        <f>MX32+1</f>
        <v>27</v>
      </c>
      <c r="MY34" s="672" t="s">
        <v>119</v>
      </c>
      <c r="MZ34" s="958">
        <f>KF26</f>
        <v>2198338533.8982811</v>
      </c>
      <c r="NA34" s="958"/>
      <c r="NB34" s="37"/>
      <c r="NC34" s="673"/>
      <c r="ND34" s="37">
        <f>MZ34</f>
        <v>2198338533.8982811</v>
      </c>
      <c r="NH34" s="283">
        <f>NH32+1</f>
        <v>27</v>
      </c>
      <c r="NI34" s="672" t="str">
        <f>MY34</f>
        <v>Target Year Volume</v>
      </c>
      <c r="NJ34" s="37">
        <v>2182672674</v>
      </c>
      <c r="NK34" s="37">
        <f>MZ34</f>
        <v>2198338533.8982811</v>
      </c>
      <c r="NL34" s="903">
        <f t="shared" ref="NL34" si="136">NK34-NJ34</f>
        <v>15665859.898281097</v>
      </c>
      <c r="NM34" s="674">
        <f t="shared" ref="NM34:NM35" si="137">NL34/NJ34</f>
        <v>7.1773748234872058E-3</v>
      </c>
    </row>
    <row r="35" spans="38:377" ht="17.25" thickBot="1" x14ac:dyDescent="0.35">
      <c r="AL35" s="464"/>
      <c r="AN35" s="438"/>
      <c r="AT35" s="661"/>
      <c r="AW35" s="661"/>
      <c r="AX35" s="351"/>
      <c r="BA35" s="661"/>
      <c r="BB35" s="351"/>
      <c r="BE35" s="661"/>
      <c r="BF35" s="351"/>
      <c r="BI35" s="661"/>
      <c r="BJ35" s="351"/>
      <c r="BM35" s="661"/>
      <c r="BN35" s="351"/>
      <c r="BQ35" s="661"/>
      <c r="BR35" s="351"/>
      <c r="BU35" s="661"/>
      <c r="BV35" s="351"/>
      <c r="BW35" s="351"/>
      <c r="BX35" s="351"/>
      <c r="BY35" s="351"/>
      <c r="BZ35" s="351"/>
      <c r="CA35" s="351"/>
      <c r="CB35" s="351"/>
      <c r="CD35" s="661"/>
      <c r="CE35" s="351"/>
      <c r="CF35" s="351"/>
      <c r="CG35" s="351"/>
      <c r="FG35" s="456">
        <f t="shared" si="84"/>
        <v>30</v>
      </c>
      <c r="FH35" s="675"/>
      <c r="FI35" s="676" t="s">
        <v>239</v>
      </c>
      <c r="FJ35" s="479">
        <f>SUM(FJ33:FJ34)</f>
        <v>44784.14</v>
      </c>
      <c r="FK35" s="479">
        <f>SUM(FK33:FK34)</f>
        <v>172158.89</v>
      </c>
      <c r="FL35" s="479">
        <f>SUM(FL33:FL34)</f>
        <v>826002.82000000007</v>
      </c>
      <c r="FM35" s="501">
        <f>FJ35+FL35+FK35</f>
        <v>1042945.8500000001</v>
      </c>
      <c r="FN35" s="479">
        <v>44784.14</v>
      </c>
      <c r="FO35" s="479">
        <v>172158.88999999998</v>
      </c>
      <c r="FP35" s="479">
        <v>793124.49</v>
      </c>
      <c r="FQ35" s="479">
        <v>1010067.52</v>
      </c>
      <c r="FR35" s="479">
        <v>1010067.52</v>
      </c>
      <c r="FT35" s="408"/>
      <c r="JH35" s="518"/>
      <c r="JJ35" s="518"/>
      <c r="KM35" s="279"/>
      <c r="KN35" s="279"/>
      <c r="KO35" s="279"/>
      <c r="KP35" s="279"/>
      <c r="KQ35" s="279"/>
      <c r="KR35" s="279"/>
      <c r="KS35" s="279"/>
      <c r="KT35" s="279"/>
      <c r="KU35" s="279"/>
      <c r="KV35" s="279"/>
      <c r="KW35" s="279"/>
      <c r="KX35" s="279"/>
      <c r="KY35" s="279"/>
      <c r="KZ35" s="279"/>
      <c r="LA35" s="279"/>
      <c r="LB35" s="279"/>
      <c r="LC35" s="664"/>
      <c r="LD35" s="279"/>
      <c r="LL35" s="518"/>
      <c r="LN35" s="518"/>
      <c r="LO35" s="518"/>
      <c r="MX35" s="421">
        <f>MX34+1</f>
        <v>28</v>
      </c>
      <c r="MY35" s="678" t="s">
        <v>248</v>
      </c>
      <c r="MZ35" s="954">
        <f>KD26</f>
        <v>221</v>
      </c>
      <c r="NA35" s="954"/>
      <c r="NB35" s="38"/>
      <c r="NC35" s="679"/>
      <c r="ND35" s="38">
        <f>MZ35</f>
        <v>221</v>
      </c>
      <c r="NH35" s="421">
        <f>NH34+1</f>
        <v>28</v>
      </c>
      <c r="NI35" s="678" t="str">
        <f>MY35</f>
        <v>Number of Depots</v>
      </c>
      <c r="NJ35" s="38">
        <v>222</v>
      </c>
      <c r="NK35" s="38">
        <f>MZ35</f>
        <v>221</v>
      </c>
      <c r="NL35" s="680">
        <f>NK35-NJ35</f>
        <v>-1</v>
      </c>
      <c r="NM35" s="681">
        <f t="shared" si="137"/>
        <v>-4.5045045045045045E-3</v>
      </c>
    </row>
    <row r="36" spans="38:377" ht="17.25" thickBot="1" x14ac:dyDescent="0.35">
      <c r="AN36" s="576"/>
      <c r="FG36" s="467">
        <f t="shared" si="84"/>
        <v>31</v>
      </c>
      <c r="FH36" s="682"/>
      <c r="FI36" s="471" t="s">
        <v>72</v>
      </c>
      <c r="FJ36" s="469">
        <f>FJ20+FJ24+FJ31+FJ35</f>
        <v>1955314.6527999998</v>
      </c>
      <c r="FK36" s="469">
        <f>FK20+FK24+FK31+FK35</f>
        <v>3087185.5686000003</v>
      </c>
      <c r="FL36" s="469">
        <f>FL20+FL24+FL31+FL35</f>
        <v>5219521.7150999997</v>
      </c>
      <c r="FM36" s="470">
        <f>FJ36+FL36+FK36</f>
        <v>10262021.9365</v>
      </c>
      <c r="FN36" s="469">
        <v>1867647.810069697</v>
      </c>
      <c r="FO36" s="469">
        <v>2660485.1605300005</v>
      </c>
      <c r="FP36" s="469">
        <v>5141127.5751</v>
      </c>
      <c r="FQ36" s="469">
        <v>9669260.545699697</v>
      </c>
      <c r="FR36" s="469">
        <v>9669260.545699697</v>
      </c>
      <c r="FT36" s="408"/>
      <c r="JH36" s="518"/>
      <c r="JJ36" s="518"/>
      <c r="KL36" s="683"/>
      <c r="KM36" s="677"/>
      <c r="KN36" s="279"/>
      <c r="KO36" s="279"/>
      <c r="KP36" s="279"/>
      <c r="KQ36" s="279"/>
      <c r="KR36" s="279"/>
      <c r="KS36" s="279"/>
      <c r="KT36" s="279"/>
      <c r="KU36" s="279"/>
      <c r="KV36" s="279"/>
      <c r="KW36" s="279"/>
      <c r="KX36" s="279"/>
      <c r="KY36" s="279"/>
      <c r="KZ36" s="279"/>
      <c r="LA36" s="279"/>
      <c r="LB36" s="677"/>
      <c r="LC36" s="684"/>
      <c r="LD36" s="677"/>
      <c r="LL36" s="518"/>
      <c r="LN36" s="518"/>
      <c r="LO36" s="518"/>
      <c r="MY36" s="91" t="s">
        <v>452</v>
      </c>
    </row>
    <row r="37" spans="38:377" x14ac:dyDescent="0.3">
      <c r="AL37" s="464"/>
      <c r="AN37" s="438"/>
      <c r="AP37" s="685"/>
      <c r="AQ37" s="91"/>
      <c r="AT37" s="326"/>
      <c r="AV37" s="686"/>
      <c r="AW37" s="326"/>
      <c r="AX37" s="351"/>
      <c r="AZ37" s="686"/>
      <c r="BA37" s="326"/>
      <c r="BB37" s="351"/>
      <c r="BD37" s="686"/>
      <c r="BE37" s="326"/>
      <c r="BF37" s="351"/>
      <c r="BH37" s="686"/>
      <c r="BI37" s="326"/>
      <c r="BJ37" s="351"/>
      <c r="BL37" s="686"/>
      <c r="BM37" s="326"/>
      <c r="BN37" s="351"/>
      <c r="BP37" s="686"/>
      <c r="BQ37" s="326"/>
      <c r="BR37" s="351"/>
      <c r="BT37" s="686"/>
      <c r="BU37" s="326"/>
      <c r="BV37" s="351"/>
      <c r="BW37" s="351"/>
      <c r="BX37" s="351"/>
      <c r="BY37" s="351"/>
      <c r="BZ37" s="351"/>
      <c r="CA37" s="351"/>
      <c r="CB37" s="351"/>
      <c r="CC37" s="686"/>
      <c r="CD37" s="326"/>
      <c r="CE37" s="351"/>
      <c r="CF37" s="351"/>
      <c r="CG37" s="351"/>
      <c r="JH37" s="518"/>
      <c r="JJ37" s="518"/>
      <c r="KL37" s="683"/>
      <c r="KM37" s="677"/>
      <c r="KN37" s="279"/>
      <c r="KO37" s="279"/>
      <c r="KP37" s="279"/>
      <c r="KQ37" s="279"/>
      <c r="KR37" s="279"/>
      <c r="KS37" s="279"/>
      <c r="KT37" s="279"/>
      <c r="KU37" s="279"/>
      <c r="KV37" s="279"/>
      <c r="KW37" s="279"/>
      <c r="KX37" s="279"/>
      <c r="KY37" s="279"/>
      <c r="KZ37" s="279"/>
      <c r="LA37" s="279"/>
      <c r="LB37" s="677"/>
      <c r="LC37" s="684"/>
      <c r="LD37" s="677"/>
      <c r="LL37" s="518"/>
      <c r="LN37" s="518"/>
      <c r="LO37" s="518"/>
      <c r="MY37" s="572" t="s">
        <v>254</v>
      </c>
      <c r="MZ37" s="31">
        <v>113162003.07033257</v>
      </c>
      <c r="NA37" s="573">
        <v>5.1371628933547182</v>
      </c>
      <c r="NB37" s="96"/>
      <c r="NC37" s="96"/>
      <c r="ND37" s="96"/>
    </row>
    <row r="38" spans="38:377" x14ac:dyDescent="0.3">
      <c r="AL38" s="464"/>
      <c r="AN38" s="438"/>
      <c r="AQ38" s="91"/>
      <c r="BU38" s="347"/>
      <c r="CD38" s="347"/>
      <c r="FT38" s="408"/>
      <c r="JH38" s="518"/>
      <c r="JJ38" s="518"/>
      <c r="KL38" s="683"/>
      <c r="KM38" s="677"/>
      <c r="KN38" s="677"/>
      <c r="KO38" s="677"/>
      <c r="KP38" s="677"/>
      <c r="KQ38" s="677"/>
      <c r="KR38" s="677"/>
      <c r="KT38" s="641"/>
      <c r="KU38" s="641"/>
      <c r="KV38" s="641"/>
      <c r="KW38" s="641"/>
      <c r="KX38" s="641"/>
      <c r="KY38" s="641"/>
      <c r="KZ38" s="677"/>
      <c r="LA38" s="677"/>
      <c r="LB38" s="677"/>
      <c r="LC38" s="684"/>
      <c r="LD38" s="677"/>
      <c r="LL38" s="518"/>
      <c r="LN38" s="518"/>
      <c r="LO38" s="518"/>
      <c r="MY38" s="20" t="s">
        <v>257</v>
      </c>
      <c r="MZ38" s="20">
        <v>0</v>
      </c>
      <c r="NA38" s="414">
        <v>0</v>
      </c>
      <c r="NB38" s="96"/>
      <c r="NC38" s="96"/>
      <c r="ND38" s="96"/>
    </row>
    <row r="39" spans="38:377" x14ac:dyDescent="0.3">
      <c r="JH39" s="518"/>
      <c r="JJ39" s="518"/>
      <c r="KL39" s="683"/>
      <c r="KM39" s="677"/>
      <c r="KN39" s="677"/>
      <c r="KO39" s="677"/>
      <c r="KP39" s="677"/>
      <c r="KQ39" s="677"/>
      <c r="KR39" s="677"/>
      <c r="KT39" s="641"/>
      <c r="KU39" s="641"/>
      <c r="KV39" s="641"/>
      <c r="KW39" s="641"/>
      <c r="KX39" s="641"/>
      <c r="KY39" s="641"/>
      <c r="KZ39" s="677"/>
      <c r="LA39" s="677"/>
      <c r="LB39" s="677"/>
      <c r="LC39" s="684"/>
      <c r="LD39" s="677"/>
      <c r="LL39" s="518"/>
      <c r="LN39" s="518"/>
      <c r="LO39" s="518"/>
      <c r="MH39" s="687"/>
      <c r="MI39" s="687"/>
      <c r="MJ39" s="687"/>
      <c r="MK39" s="687"/>
      <c r="MY39" s="32" t="s">
        <v>262</v>
      </c>
      <c r="MZ39" s="32">
        <v>0</v>
      </c>
      <c r="NA39" s="638">
        <v>0</v>
      </c>
      <c r="NB39" s="96"/>
      <c r="NC39" s="96"/>
      <c r="ND39" s="96"/>
    </row>
    <row r="40" spans="38:377" x14ac:dyDescent="0.3">
      <c r="AL40" s="464"/>
      <c r="JH40" s="518"/>
      <c r="JJ40" s="518"/>
      <c r="KT40" s="641"/>
      <c r="KU40" s="641"/>
      <c r="KV40" s="641"/>
      <c r="KW40" s="641"/>
      <c r="KX40" s="641"/>
      <c r="KY40" s="641"/>
      <c r="LL40" s="518"/>
      <c r="LN40" s="518"/>
      <c r="LO40" s="518"/>
      <c r="MH40" s="687"/>
      <c r="MI40" s="687"/>
      <c r="MJ40" s="687"/>
      <c r="MK40" s="687"/>
      <c r="MY40" s="647" t="s">
        <v>264</v>
      </c>
      <c r="MZ40" s="648">
        <v>113162003.07033257</v>
      </c>
      <c r="NA40" s="649">
        <v>5.1371628933547182</v>
      </c>
      <c r="NB40" s="96"/>
      <c r="NC40" s="96"/>
      <c r="ND40" s="96"/>
    </row>
    <row r="41" spans="38:377" x14ac:dyDescent="0.3">
      <c r="AL41" s="688"/>
      <c r="JH41" s="518"/>
      <c r="JJ41" s="518"/>
      <c r="KT41" s="641"/>
      <c r="KU41" s="641"/>
      <c r="KV41" s="641"/>
      <c r="KW41" s="641"/>
      <c r="KX41" s="641"/>
      <c r="KY41" s="641"/>
      <c r="LL41" s="518"/>
      <c r="LN41" s="518"/>
      <c r="LO41" s="518"/>
      <c r="MH41" s="687"/>
      <c r="MI41" s="689"/>
      <c r="MJ41" s="690"/>
      <c r="MK41" s="691"/>
      <c r="MY41" s="444" t="s">
        <v>266</v>
      </c>
      <c r="MZ41" s="652">
        <v>4758928.0499999989</v>
      </c>
      <c r="NA41" s="509">
        <v>0.2160388463202649</v>
      </c>
      <c r="NB41" s="96"/>
      <c r="NC41" s="96"/>
      <c r="ND41" s="96"/>
    </row>
    <row r="42" spans="38:377" x14ac:dyDescent="0.3">
      <c r="AL42" s="464"/>
      <c r="JH42" s="518"/>
      <c r="JJ42" s="518"/>
      <c r="KT42" s="641"/>
      <c r="KU42" s="641"/>
      <c r="KV42" s="641"/>
      <c r="KW42" s="641"/>
      <c r="KX42" s="641"/>
      <c r="KY42" s="641"/>
      <c r="LL42" s="518"/>
      <c r="LN42" s="518"/>
      <c r="LO42" s="518"/>
      <c r="MH42" s="687"/>
      <c r="MI42" s="690"/>
      <c r="MJ42" s="690"/>
      <c r="MK42" s="691"/>
      <c r="MY42" s="647" t="s">
        <v>268</v>
      </c>
      <c r="MZ42" s="648">
        <v>108403075.02033257</v>
      </c>
      <c r="NA42" s="649">
        <v>4.9211240470344544</v>
      </c>
      <c r="NB42" s="96"/>
      <c r="NC42" s="96"/>
      <c r="ND42" s="96"/>
    </row>
    <row r="43" spans="38:377" x14ac:dyDescent="0.3">
      <c r="JH43" s="518"/>
      <c r="JJ43" s="518"/>
      <c r="KT43" s="641"/>
      <c r="KU43" s="641"/>
      <c r="KV43" s="641"/>
      <c r="KW43" s="641"/>
      <c r="KX43" s="641"/>
      <c r="KY43" s="641"/>
      <c r="LL43" s="518"/>
      <c r="LN43" s="518"/>
      <c r="LO43" s="518"/>
      <c r="MH43" s="687"/>
      <c r="MI43" s="689"/>
      <c r="MJ43" s="689"/>
      <c r="MK43" s="691"/>
      <c r="MY43" s="32" t="s">
        <v>269</v>
      </c>
      <c r="MZ43" s="32">
        <v>136637688.37609816</v>
      </c>
      <c r="NA43" s="638">
        <v>6.2028776754967172</v>
      </c>
      <c r="NB43" s="96"/>
      <c r="NC43" s="96"/>
      <c r="ND43" s="96"/>
    </row>
    <row r="44" spans="38:377" x14ac:dyDescent="0.3">
      <c r="JH44" s="518"/>
      <c r="JJ44" s="518"/>
      <c r="KT44" s="641"/>
      <c r="KU44" s="641"/>
      <c r="KV44" s="641"/>
      <c r="KW44" s="641"/>
      <c r="KX44" s="641"/>
      <c r="KY44" s="641"/>
      <c r="LL44" s="518"/>
      <c r="LN44" s="518"/>
      <c r="LO44" s="518"/>
      <c r="MH44" s="687"/>
      <c r="MI44" s="687"/>
      <c r="MJ44" s="687"/>
      <c r="MK44" s="691"/>
      <c r="MY44" s="665" t="s">
        <v>271</v>
      </c>
      <c r="MZ44" s="665">
        <v>-0.17673177638173754</v>
      </c>
      <c r="NA44" s="665"/>
      <c r="NB44" s="96"/>
      <c r="NC44" s="96"/>
      <c r="ND44" s="96"/>
      <c r="NI44" s="113"/>
    </row>
    <row r="45" spans="38:377" x14ac:dyDescent="0.3">
      <c r="KT45" s="641"/>
      <c r="KU45" s="641"/>
      <c r="KV45" s="641"/>
      <c r="KW45" s="641"/>
      <c r="KX45" s="641"/>
      <c r="KY45" s="641"/>
      <c r="LL45" s="518"/>
      <c r="LN45" s="518"/>
      <c r="LO45" s="518"/>
      <c r="MH45" s="687"/>
      <c r="MI45" s="687"/>
      <c r="MJ45" s="687"/>
      <c r="MK45" s="687"/>
      <c r="MY45" s="88"/>
      <c r="MZ45" s="88"/>
      <c r="NA45" s="88"/>
      <c r="NB45" s="96"/>
      <c r="NC45" s="96"/>
      <c r="ND45" s="96"/>
    </row>
    <row r="46" spans="38:377" x14ac:dyDescent="0.3">
      <c r="KT46" s="641"/>
      <c r="KU46" s="641"/>
      <c r="KV46" s="641"/>
      <c r="KW46" s="641"/>
      <c r="KX46" s="641"/>
      <c r="KY46" s="641"/>
      <c r="LL46" s="518"/>
      <c r="LN46" s="518"/>
      <c r="LO46" s="518"/>
      <c r="MY46" s="672" t="s">
        <v>119</v>
      </c>
      <c r="MZ46" s="958">
        <v>2202811268</v>
      </c>
      <c r="NA46" s="958"/>
      <c r="NB46" s="96"/>
      <c r="NC46" s="96"/>
      <c r="ND46" s="96"/>
      <c r="NI46" s="113"/>
    </row>
    <row r="47" spans="38:377" x14ac:dyDescent="0.3">
      <c r="KT47" s="641"/>
      <c r="KU47" s="641"/>
      <c r="KV47" s="641"/>
      <c r="KW47" s="641"/>
      <c r="KX47" s="641"/>
      <c r="KY47" s="641"/>
      <c r="LL47" s="518"/>
      <c r="LN47" s="518"/>
      <c r="LO47" s="518"/>
      <c r="MZ47" s="96"/>
      <c r="NA47" s="96"/>
      <c r="NB47" s="96"/>
      <c r="NC47" s="96"/>
      <c r="ND47" s="96"/>
    </row>
    <row r="48" spans="38:377" x14ac:dyDescent="0.3">
      <c r="KT48" s="641"/>
      <c r="KU48" s="641"/>
      <c r="KV48" s="641"/>
      <c r="KW48" s="641"/>
      <c r="KX48" s="641"/>
      <c r="KY48" s="641"/>
      <c r="LL48" s="518"/>
      <c r="LN48" s="518"/>
      <c r="LO48" s="518"/>
      <c r="MY48" s="91" t="s">
        <v>449</v>
      </c>
      <c r="MZ48" s="950">
        <f>MZ28-MZ37</f>
        <v>-113253.67525607347</v>
      </c>
      <c r="NA48" s="694"/>
      <c r="NH48" s="98"/>
      <c r="NI48" s="695"/>
    </row>
    <row r="49" spans="306:380" x14ac:dyDescent="0.3">
      <c r="KT49" s="641"/>
      <c r="KU49" s="641"/>
      <c r="KV49" s="641"/>
      <c r="KW49" s="641"/>
      <c r="KX49" s="641"/>
      <c r="KY49" s="641"/>
      <c r="LL49" s="518"/>
      <c r="LN49" s="518"/>
      <c r="LO49" s="518"/>
      <c r="MY49" s="91"/>
      <c r="MZ49" s="1004"/>
      <c r="NA49" s="692"/>
      <c r="NI49" s="695"/>
    </row>
    <row r="50" spans="306:380" x14ac:dyDescent="0.3">
      <c r="KT50" s="641"/>
      <c r="KU50" s="641"/>
      <c r="LL50" s="518"/>
      <c r="LN50" s="518"/>
      <c r="LO50" s="518"/>
      <c r="MP50" s="337"/>
      <c r="MQ50" s="98"/>
      <c r="MU50" s="98"/>
      <c r="MV50" s="337"/>
      <c r="MW50" s="98"/>
      <c r="MZ50" s="693"/>
      <c r="NA50" s="694"/>
      <c r="NH50" s="98"/>
      <c r="NI50" s="695"/>
      <c r="NO50" s="337"/>
      <c r="NP50" s="98"/>
    </row>
    <row r="51" spans="306:380" x14ac:dyDescent="0.3">
      <c r="LL51" s="518"/>
      <c r="LN51" s="518"/>
      <c r="LO51" s="518"/>
      <c r="MR51" s="98"/>
      <c r="MS51" s="98"/>
      <c r="MT51" s="98"/>
      <c r="MZ51" s="20"/>
      <c r="NA51" s="692"/>
      <c r="NG51" s="98"/>
    </row>
    <row r="52" spans="306:380" x14ac:dyDescent="0.3">
      <c r="MP52" s="337"/>
      <c r="MQ52" s="98"/>
      <c r="MU52" s="98"/>
      <c r="MV52" s="337"/>
      <c r="MW52" s="98"/>
      <c r="MZ52" s="693"/>
      <c r="NA52" s="694"/>
      <c r="NF52" s="337"/>
      <c r="NO52" s="337"/>
      <c r="NP52" s="98"/>
    </row>
    <row r="53" spans="306:380" x14ac:dyDescent="0.3">
      <c r="MR53" s="98"/>
      <c r="MS53" s="98"/>
      <c r="MT53" s="98"/>
      <c r="MZ53" s="20"/>
      <c r="NA53" s="692"/>
      <c r="NG53" s="98"/>
    </row>
    <row r="54" spans="306:380" x14ac:dyDescent="0.3">
      <c r="MZ54" s="20"/>
      <c r="NA54" s="692"/>
      <c r="NF54" s="337"/>
    </row>
  </sheetData>
  <mergeCells count="113">
    <mergeCell ref="MZ46:NA46"/>
    <mergeCell ref="F25:G25"/>
    <mergeCell ref="H25:J25"/>
    <mergeCell ref="K25:M25"/>
    <mergeCell ref="N25:P25"/>
    <mergeCell ref="MZ34:NA34"/>
    <mergeCell ref="MZ35:NA35"/>
    <mergeCell ref="BT22:BV22"/>
    <mergeCell ref="BT23:BV23"/>
    <mergeCell ref="F24:G24"/>
    <mergeCell ref="H24:J24"/>
    <mergeCell ref="K24:M24"/>
    <mergeCell ref="N24:P24"/>
    <mergeCell ref="MI3:MK3"/>
    <mergeCell ref="ML3:MN3"/>
    <mergeCell ref="MZ4:NA4"/>
    <mergeCell ref="NC4:ND4"/>
    <mergeCell ref="DH12:DI13"/>
    <mergeCell ref="AN21:CG21"/>
    <mergeCell ref="LQ3:LR3"/>
    <mergeCell ref="LS3:LT3"/>
    <mergeCell ref="LU3:LV3"/>
    <mergeCell ref="LW3:LX3"/>
    <mergeCell ref="LY3:LZ3"/>
    <mergeCell ref="MF3:MH3"/>
    <mergeCell ref="KX3:KY3"/>
    <mergeCell ref="KZ3:LA3"/>
    <mergeCell ref="LI3:LJ3"/>
    <mergeCell ref="LK3:LL3"/>
    <mergeCell ref="LM3:LN3"/>
    <mergeCell ref="LO3:LP3"/>
    <mergeCell ref="JQ3:JR3"/>
    <mergeCell ref="JS3:JT3"/>
    <mergeCell ref="JU3:JW3"/>
    <mergeCell ref="KR3:KS3"/>
    <mergeCell ref="KT3:KU3"/>
    <mergeCell ref="KV3:KW3"/>
    <mergeCell ref="JE3:JF3"/>
    <mergeCell ref="JG3:JH3"/>
    <mergeCell ref="JI3:JJ3"/>
    <mergeCell ref="JK3:JL3"/>
    <mergeCell ref="JM3:JN3"/>
    <mergeCell ref="JO3:JP3"/>
    <mergeCell ref="HO3:HR3"/>
    <mergeCell ref="IN3:IO3"/>
    <mergeCell ref="IP3:IQ3"/>
    <mergeCell ref="IR3:IS3"/>
    <mergeCell ref="IT3:IU3"/>
    <mergeCell ref="IV3:IW3"/>
    <mergeCell ref="GB3:GE3"/>
    <mergeCell ref="GK3:GN3"/>
    <mergeCell ref="GO3:GR3"/>
    <mergeCell ref="GX3:HA3"/>
    <mergeCell ref="HB3:HE3"/>
    <mergeCell ref="HK3:HN3"/>
    <mergeCell ref="ES3:EV3"/>
    <mergeCell ref="EW3:EZ3"/>
    <mergeCell ref="FA3:FC3"/>
    <mergeCell ref="FJ3:FM3"/>
    <mergeCell ref="FN3:FR3"/>
    <mergeCell ref="FX3:GA3"/>
    <mergeCell ref="DJ3:DK3"/>
    <mergeCell ref="DL3:DM3"/>
    <mergeCell ref="DS3:DV3"/>
    <mergeCell ref="DW3:DZ3"/>
    <mergeCell ref="EF3:EI3"/>
    <mergeCell ref="EJ3:EM3"/>
    <mergeCell ref="CC3:CE3"/>
    <mergeCell ref="CF3:CG3"/>
    <mergeCell ref="CM3:CP3"/>
    <mergeCell ref="CQ3:CT3"/>
    <mergeCell ref="CZ3:DA3"/>
    <mergeCell ref="DB3:DD3"/>
    <mergeCell ref="BH3:BJ3"/>
    <mergeCell ref="BL3:BN3"/>
    <mergeCell ref="BP3:BR3"/>
    <mergeCell ref="BT3:BV3"/>
    <mergeCell ref="BW3:BY3"/>
    <mergeCell ref="BZ3:CB3"/>
    <mergeCell ref="NH1:NM2"/>
    <mergeCell ref="F3:G3"/>
    <mergeCell ref="H3:J3"/>
    <mergeCell ref="K3:M3"/>
    <mergeCell ref="N3:P3"/>
    <mergeCell ref="Q3:R3"/>
    <mergeCell ref="AS3:AT3"/>
    <mergeCell ref="AV3:AX3"/>
    <mergeCell ref="AZ3:BB3"/>
    <mergeCell ref="BD3:BF3"/>
    <mergeCell ref="KA1:KJ2"/>
    <mergeCell ref="KN1:LA2"/>
    <mergeCell ref="LE1:LZ2"/>
    <mergeCell ref="MD1:MN2"/>
    <mergeCell ref="MR1:MT2"/>
    <mergeCell ref="MX1:ND2"/>
    <mergeCell ref="GH1:GS1"/>
    <mergeCell ref="GU1:HF1"/>
    <mergeCell ref="HH1:HS1"/>
    <mergeCell ref="HV1:IG2"/>
    <mergeCell ref="IK1:IW2"/>
    <mergeCell ref="JA1:JW1"/>
    <mergeCell ref="DG1:DN1"/>
    <mergeCell ref="DP1:EA1"/>
    <mergeCell ref="ED1:EM1"/>
    <mergeCell ref="EQ1:FC1"/>
    <mergeCell ref="FG1:FR1"/>
    <mergeCell ref="FU1:GF1"/>
    <mergeCell ref="B1:R1"/>
    <mergeCell ref="W1:AA1"/>
    <mergeCell ref="AF1:AJ1"/>
    <mergeCell ref="AN1:CG1"/>
    <mergeCell ref="CJ1:CU1"/>
    <mergeCell ref="CW1:DE1"/>
  </mergeCells>
  <conditionalFormatting sqref="AM3:CH4">
    <cfRule type="cellIs" dxfId="103" priority="5" operator="lessThan">
      <formula>0</formula>
    </cfRule>
  </conditionalFormatting>
  <conditionalFormatting sqref="AN7:AP20">
    <cfRule type="cellIs" dxfId="102" priority="20" operator="lessThan">
      <formula>0</formula>
    </cfRule>
  </conditionalFormatting>
  <conditionalFormatting sqref="AN22:BT23">
    <cfRule type="cellIs" dxfId="101" priority="3" operator="lessThan">
      <formula>0</formula>
    </cfRule>
  </conditionalFormatting>
  <conditionalFormatting sqref="BW7:CG20">
    <cfRule type="cellIs" dxfId="100" priority="8" operator="lessThan">
      <formula>0</formula>
    </cfRule>
  </conditionalFormatting>
  <conditionalFormatting sqref="BZ22:CA23">
    <cfRule type="cellIs" dxfId="99" priority="2" operator="lessThan">
      <formula>0</formula>
    </cfRule>
  </conditionalFormatting>
  <conditionalFormatting sqref="CC22:CG23">
    <cfRule type="cellIs" dxfId="98" priority="9" operator="lessThan">
      <formula>0</formula>
    </cfRule>
  </conditionalFormatting>
  <conditionalFormatting sqref="CH1:CI1 JZ1:KA1 KN1 LB1:LE1 MA1:MB1 MD1 AM1:AM2 KK1:KM2 AO2:AR2 BW2:CH2 JZ2 MA2 LB2:LD27 CI2:CI1048576 MB2:MB1048576 JZ3:KP3 KR3 KT3 KV3 LI3:LO3 LQ3 LU3:MA3 LG3:LH4 JZ4 KB4:KL4 LI4:MA4 KN4:KQ27 KM4:KM28 AN5:AR5 BW5:CG5 CH5:CH24 LE5:LF27 AM5:AM1048576 AN6:CG6 KJ6:KL26 JZ6:KI1048576 AQ7:BT10 BU7:BV11 LU7:MA28 AQ11:BO11 BQ11:BT11 AQ12:BV20 AH19:AJ19 AN26:CH1048576 KS27 KU27 KW27:KY27 KL27:KL32 KJ27:KK1048576 MC28:MN1048576 KM29:KR29 KT29:LD29 LF29:LZ29 MA29:MA1048576 LF30:LH30 LJ30:LZ30 KM30:KM32 LB30:LD32 KN30:LA37 LE31:LZ1048576 KN38:KR50 KL34:KM50 KT38:LA50 LB34:LD50 KL51:LD1048576">
    <cfRule type="cellIs" dxfId="97" priority="26" operator="lessThan">
      <formula>0</formula>
    </cfRule>
  </conditionalFormatting>
  <conditionalFormatting sqref="IC4 IC6:IC25">
    <cfRule type="cellIs" dxfId="96" priority="25" operator="lessThan">
      <formula>0</formula>
    </cfRule>
  </conditionalFormatting>
  <conditionalFormatting sqref="JC4">
    <cfRule type="cellIs" dxfId="95" priority="23" operator="lessThan">
      <formula>0</formula>
    </cfRule>
  </conditionalFormatting>
  <conditionalFormatting sqref="JZ5:KL5">
    <cfRule type="cellIs" dxfId="94" priority="12" operator="lessThan">
      <formula>0</formula>
    </cfRule>
  </conditionalFormatting>
  <conditionalFormatting sqref="KR4:LA26">
    <cfRule type="cellIs" dxfId="93" priority="1" operator="lessThan">
      <formula>0</formula>
    </cfRule>
  </conditionalFormatting>
  <conditionalFormatting sqref="KZ3">
    <cfRule type="cellIs" dxfId="92" priority="21" operator="lessThan">
      <formula>0</formula>
    </cfRule>
  </conditionalFormatting>
  <conditionalFormatting sqref="KZ28:LT28">
    <cfRule type="cellIs" dxfId="91" priority="11" operator="lessThan">
      <formula>0</formula>
    </cfRule>
  </conditionalFormatting>
  <conditionalFormatting sqref="LA27">
    <cfRule type="cellIs" dxfId="90" priority="13" operator="lessThan">
      <formula>0</formula>
    </cfRule>
  </conditionalFormatting>
  <conditionalFormatting sqref="LE3:LF3 LF4">
    <cfRule type="cellIs" dxfId="89" priority="22" operator="lessThan">
      <formula>0</formula>
    </cfRule>
  </conditionalFormatting>
  <conditionalFormatting sqref="LG7:LT27">
    <cfRule type="cellIs" dxfId="88" priority="10" operator="lessThan">
      <formula>0</formula>
    </cfRule>
  </conditionalFormatting>
  <conditionalFormatting sqref="LG5:MA6">
    <cfRule type="cellIs" dxfId="87" priority="24" operator="lessThan">
      <formula>0</formula>
    </cfRule>
  </conditionalFormatting>
  <conditionalFormatting sqref="MC2">
    <cfRule type="cellIs" dxfId="86" priority="4" operator="lessThan">
      <formula>0</formula>
    </cfRule>
  </conditionalFormatting>
  <conditionalFormatting sqref="MF3:MF4">
    <cfRule type="cellIs" dxfId="85" priority="19" operator="lessThan">
      <formula>0</formula>
    </cfRule>
  </conditionalFormatting>
  <conditionalFormatting sqref="MG4:MH4">
    <cfRule type="cellIs" dxfId="84" priority="18" operator="lessThan">
      <formula>0</formula>
    </cfRule>
  </conditionalFormatting>
  <conditionalFormatting sqref="MI3:MI4">
    <cfRule type="cellIs" dxfId="83" priority="17" operator="lessThan">
      <formula>0</formula>
    </cfRule>
  </conditionalFormatting>
  <conditionalFormatting sqref="MJ4:MK4">
    <cfRule type="cellIs" dxfId="82" priority="16" operator="lessThan">
      <formula>0</formula>
    </cfRule>
  </conditionalFormatting>
  <conditionalFormatting sqref="ML3:ML4">
    <cfRule type="cellIs" dxfId="81" priority="15" operator="lessThan">
      <formula>0</formula>
    </cfRule>
  </conditionalFormatting>
  <conditionalFormatting sqref="MM4:MN4">
    <cfRule type="cellIs" dxfId="80" priority="14" operator="lessThan">
      <formula>0</formula>
    </cfRule>
  </conditionalFormatting>
  <conditionalFormatting sqref="MR1">
    <cfRule type="cellIs" dxfId="79" priority="7" operator="lessThan">
      <formula>0</formula>
    </cfRule>
  </conditionalFormatting>
  <conditionalFormatting sqref="MR4:MT4">
    <cfRule type="cellIs" dxfId="78" priority="6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C63BE-ABE1-4336-ACEB-2004F9DC08F6}">
  <sheetPr>
    <tabColor theme="8" tint="0.39997558519241921"/>
  </sheetPr>
  <dimension ref="A1:KH50"/>
  <sheetViews>
    <sheetView topLeftCell="A2" zoomScale="85" zoomScaleNormal="85" workbookViewId="0">
      <selection activeCell="E18" sqref="E18"/>
    </sheetView>
  </sheetViews>
  <sheetFormatPr defaultColWidth="10.28515625" defaultRowHeight="16.5" x14ac:dyDescent="0.3"/>
  <cols>
    <col min="1" max="1" width="2.42578125" style="2" customWidth="1"/>
    <col min="2" max="2" width="8.85546875" style="2" customWidth="1"/>
    <col min="3" max="3" width="39.42578125" style="2" customWidth="1"/>
    <col min="4" max="4" width="24.5703125" style="2" customWidth="1"/>
    <col min="5" max="5" width="21.7109375" style="2" customWidth="1"/>
    <col min="6" max="6" width="21.42578125" style="2" customWidth="1"/>
    <col min="7" max="7" width="4.140625" style="2" customWidth="1"/>
    <col min="8" max="8" width="7" style="102" customWidth="1"/>
    <col min="9" max="9" width="4.140625" style="2" customWidth="1"/>
    <col min="10" max="10" width="5.7109375" style="2" customWidth="1"/>
    <col min="11" max="11" width="11.7109375" style="2" customWidth="1"/>
    <col min="12" max="12" width="37.7109375" style="2" customWidth="1"/>
    <col min="13" max="13" width="20.85546875" style="2" customWidth="1"/>
    <col min="14" max="16" width="14.42578125" style="2" customWidth="1"/>
    <col min="17" max="17" width="17.7109375" style="2" customWidth="1"/>
    <col min="18" max="18" width="15" style="2" customWidth="1"/>
    <col min="19" max="19" width="4.140625" style="2" customWidth="1"/>
    <col min="20" max="20" width="7" style="102" customWidth="1"/>
    <col min="21" max="21" width="4.140625" style="2" customWidth="1"/>
    <col min="22" max="22" width="6" style="2" customWidth="1"/>
    <col min="23" max="23" width="11.28515625" style="2" customWidth="1"/>
    <col min="24" max="24" width="35" style="2" bestFit="1" customWidth="1"/>
    <col min="25" max="25" width="18.28515625" style="2" customWidth="1"/>
    <col min="26" max="26" width="11.42578125" style="2" customWidth="1"/>
    <col min="27" max="27" width="4.140625" style="2" customWidth="1"/>
    <col min="28" max="28" width="7" style="102" customWidth="1"/>
    <col min="29" max="29" width="4.140625" style="2" customWidth="1"/>
    <col min="30" max="31" width="9.85546875" style="2" customWidth="1"/>
    <col min="32" max="32" width="38.28515625" style="2" customWidth="1"/>
    <col min="33" max="33" width="16.5703125" style="2" customWidth="1"/>
    <col min="34" max="34" width="4" style="2" customWidth="1"/>
    <col min="35" max="35" width="7" style="102" customWidth="1"/>
    <col min="36" max="36" width="4.140625" style="2" customWidth="1"/>
    <col min="37" max="37" width="5.140625" style="2" customWidth="1"/>
    <col min="38" max="38" width="65.28515625" style="2" customWidth="1"/>
    <col min="39" max="39" width="13.28515625" style="2" customWidth="1"/>
    <col min="40" max="40" width="4.140625" style="2" customWidth="1"/>
    <col min="41" max="41" width="7" style="102" customWidth="1"/>
    <col min="42" max="42" width="4.140625" style="2" customWidth="1"/>
    <col min="43" max="43" width="5.28515625" style="2" customWidth="1"/>
    <col min="44" max="44" width="11" style="2" customWidth="1"/>
    <col min="45" max="45" width="35" style="2" bestFit="1" customWidth="1"/>
    <col min="46" max="46" width="16.5703125" style="2" customWidth="1"/>
    <col min="47" max="47" width="17.85546875" style="2" bestFit="1" customWidth="1"/>
    <col min="48" max="48" width="22.42578125" style="2" customWidth="1"/>
    <col min="49" max="49" width="21" style="2" bestFit="1" customWidth="1"/>
    <col min="50" max="50" width="17.28515625" style="2" customWidth="1"/>
    <col min="51" max="51" width="20.28515625" style="2" customWidth="1"/>
    <col min="52" max="52" width="19.5703125" style="2" hidden="1" customWidth="1"/>
    <col min="53" max="53" width="15.5703125" style="2" hidden="1" customWidth="1"/>
    <col min="54" max="54" width="4.140625" style="2" customWidth="1"/>
    <col min="55" max="55" width="7" style="102" customWidth="1"/>
    <col min="56" max="56" width="4.140625" style="2" customWidth="1"/>
    <col min="57" max="57" width="4.7109375" style="2" bestFit="1" customWidth="1"/>
    <col min="58" max="58" width="36.140625" style="2" bestFit="1" customWidth="1"/>
    <col min="59" max="59" width="13.28515625" style="2" bestFit="1" customWidth="1"/>
    <col min="60" max="60" width="15" style="2" bestFit="1" customWidth="1"/>
    <col min="61" max="61" width="4.140625" style="2" customWidth="1"/>
    <col min="62" max="62" width="7" style="102" customWidth="1"/>
    <col min="63" max="63" width="4.140625" style="2" customWidth="1"/>
    <col min="64" max="64" width="5.7109375" style="2" customWidth="1"/>
    <col min="65" max="65" width="11.7109375" style="2" customWidth="1"/>
    <col min="66" max="66" width="38.42578125" style="2" customWidth="1"/>
    <col min="67" max="67" width="18.42578125" style="2" customWidth="1"/>
    <col min="68" max="68" width="20.5703125" style="2" customWidth="1"/>
    <col min="69" max="72" width="16.7109375" style="2" customWidth="1"/>
    <col min="73" max="73" width="4.140625" style="2" customWidth="1"/>
    <col min="74" max="74" width="7" style="102" customWidth="1"/>
    <col min="75" max="75" width="4.140625" style="2" customWidth="1"/>
    <col min="76" max="76" width="5" style="2" customWidth="1"/>
    <col min="77" max="77" width="18.85546875" style="2" bestFit="1" customWidth="1"/>
    <col min="78" max="78" width="14.42578125" style="2" customWidth="1"/>
    <col min="79" max="79" width="14.85546875" style="2" customWidth="1"/>
    <col min="80" max="83" width="15.5703125" style="2" customWidth="1"/>
    <col min="84" max="84" width="4.140625" style="2" customWidth="1"/>
    <col min="85" max="85" width="7" style="102" customWidth="1"/>
    <col min="86" max="86" width="4.140625" style="2" customWidth="1"/>
    <col min="87" max="87" width="5" style="2" customWidth="1"/>
    <col min="88" max="88" width="11" style="7" customWidth="1"/>
    <col min="89" max="89" width="35.5703125" style="2" customWidth="1"/>
    <col min="90" max="96" width="16.140625" style="2" customWidth="1"/>
    <col min="97" max="97" width="4.140625" style="2" customWidth="1"/>
    <col min="98" max="98" width="7" style="102" customWidth="1"/>
    <col min="99" max="99" width="4.140625" style="2" customWidth="1"/>
    <col min="100" max="100" width="4.7109375" style="2" customWidth="1"/>
    <col min="101" max="101" width="30" style="2" bestFit="1" customWidth="1"/>
    <col min="102" max="105" width="13.140625" style="2" customWidth="1"/>
    <col min="106" max="106" width="16.7109375" style="2" customWidth="1"/>
    <col min="107" max="107" width="20" style="2" customWidth="1"/>
    <col min="108" max="108" width="20.140625" style="2" customWidth="1"/>
    <col min="109" max="109" width="4.140625" style="2" customWidth="1"/>
    <col min="110" max="110" width="7" style="102" customWidth="1"/>
    <col min="111" max="111" width="4.140625" style="2" customWidth="1"/>
    <col min="112" max="112" width="5.85546875" style="2" customWidth="1"/>
    <col min="113" max="113" width="11.42578125" style="2" customWidth="1"/>
    <col min="114" max="114" width="34.42578125" style="2" customWidth="1"/>
    <col min="115" max="115" width="13.28515625" style="2" customWidth="1"/>
    <col min="116" max="116" width="15.5703125" style="2" customWidth="1"/>
    <col min="117" max="117" width="16.5703125" style="2" customWidth="1"/>
    <col min="118" max="118" width="15.5703125" style="2" customWidth="1"/>
    <col min="119" max="119" width="13.28515625" style="2" customWidth="1"/>
    <col min="120" max="120" width="15.5703125" style="2" customWidth="1"/>
    <col min="121" max="121" width="16.7109375" style="2" customWidth="1"/>
    <col min="122" max="122" width="13.28515625" style="2" customWidth="1"/>
    <col min="123" max="123" width="15.42578125" style="2" customWidth="1"/>
    <col min="124" max="124" width="4.140625" style="2" customWidth="1"/>
    <col min="125" max="125" width="7" style="102" customWidth="1"/>
    <col min="126" max="126" width="4.140625" style="2" customWidth="1"/>
    <col min="127" max="127" width="6.140625" style="2" customWidth="1"/>
    <col min="128" max="128" width="11.140625" style="2" customWidth="1"/>
    <col min="129" max="129" width="37.85546875" style="2" customWidth="1"/>
    <col min="130" max="130" width="16.7109375" style="2" customWidth="1"/>
    <col min="131" max="131" width="16" style="2" customWidth="1"/>
    <col min="132" max="132" width="15.42578125" style="2" customWidth="1"/>
    <col min="133" max="133" width="4.140625" style="2" customWidth="1"/>
    <col min="134" max="134" width="7" style="102" customWidth="1"/>
    <col min="135" max="135" width="4.140625" style="2" customWidth="1"/>
    <col min="136" max="136" width="4.7109375" style="2" customWidth="1"/>
    <col min="137" max="138" width="14.42578125" style="2" customWidth="1"/>
    <col min="139" max="139" width="13.140625" style="2" customWidth="1"/>
    <col min="140" max="140" width="14.85546875" style="2" customWidth="1"/>
    <col min="141" max="141" width="4.140625" style="2" customWidth="1"/>
    <col min="142" max="142" width="7" style="102" customWidth="1"/>
    <col min="143" max="143" width="4.140625" style="2" customWidth="1"/>
    <col min="144" max="144" width="5.7109375" style="2" customWidth="1"/>
    <col min="145" max="145" width="11.7109375" style="2" customWidth="1"/>
    <col min="146" max="146" width="34.42578125" style="2" customWidth="1"/>
    <col min="147" max="147" width="14.42578125" style="2" customWidth="1"/>
    <col min="148" max="148" width="15.5703125" style="2" bestFit="1" customWidth="1"/>
    <col min="149" max="152" width="14.42578125" style="2" customWidth="1"/>
    <col min="153" max="153" width="15.5703125" style="2" customWidth="1"/>
    <col min="154" max="155" width="14.42578125" style="2" customWidth="1"/>
    <col min="156" max="156" width="4.140625" style="2" customWidth="1"/>
    <col min="157" max="157" width="7" style="102" customWidth="1"/>
    <col min="158" max="158" width="4.140625" style="2" customWidth="1"/>
    <col min="159" max="159" width="5.28515625" style="2" customWidth="1"/>
    <col min="160" max="160" width="33.28515625" style="2" customWidth="1"/>
    <col min="161" max="161" width="21.28515625" style="2" customWidth="1"/>
    <col min="162" max="162" width="4.140625" style="2" customWidth="1"/>
    <col min="163" max="163" width="7" style="102" customWidth="1"/>
    <col min="164" max="164" width="4.140625" style="2" customWidth="1"/>
    <col min="165" max="165" width="5.42578125" style="2" customWidth="1"/>
    <col min="166" max="166" width="11.42578125" style="2" customWidth="1"/>
    <col min="167" max="167" width="40" style="2" customWidth="1"/>
    <col min="168" max="168" width="12.140625" style="2" customWidth="1"/>
    <col min="169" max="169" width="20.140625" style="2" customWidth="1"/>
    <col min="170" max="170" width="15.5703125" style="2" customWidth="1"/>
    <col min="171" max="171" width="4.140625" style="2" customWidth="1"/>
    <col min="172" max="172" width="7" style="102" customWidth="1"/>
    <col min="173" max="173" width="4.140625" style="2" customWidth="1"/>
    <col min="174" max="174" width="5.7109375" style="2" customWidth="1"/>
    <col min="175" max="175" width="10.5703125" style="2" customWidth="1"/>
    <col min="176" max="176" width="37.7109375" style="2" customWidth="1"/>
    <col min="177" max="177" width="17.28515625" style="2" bestFit="1" customWidth="1"/>
    <col min="178" max="178" width="16.7109375" style="2" bestFit="1" customWidth="1"/>
    <col min="179" max="179" width="16.140625" style="2" bestFit="1" customWidth="1"/>
    <col min="180" max="180" width="15.5703125" style="2" bestFit="1" customWidth="1"/>
    <col min="181" max="181" width="15" style="2" bestFit="1" customWidth="1"/>
    <col min="182" max="182" width="16.140625" style="2" bestFit="1" customWidth="1"/>
    <col min="183" max="183" width="16.7109375" style="2" bestFit="1" customWidth="1"/>
    <col min="184" max="184" width="17.85546875" style="2" bestFit="1" customWidth="1"/>
    <col min="185" max="185" width="15.42578125" style="2" customWidth="1"/>
    <col min="186" max="186" width="3" style="2" customWidth="1"/>
    <col min="187" max="187" width="7" style="102" customWidth="1"/>
    <col min="188" max="188" width="4.140625" style="2" customWidth="1"/>
    <col min="189" max="189" width="5.42578125" style="2" customWidth="1"/>
    <col min="190" max="190" width="11" style="2" customWidth="1"/>
    <col min="191" max="191" width="37.7109375" style="2" customWidth="1"/>
    <col min="192" max="192" width="18" style="2" customWidth="1"/>
    <col min="193" max="197" width="16.5703125" style="2" customWidth="1"/>
    <col min="198" max="198" width="24.85546875" style="2" customWidth="1"/>
    <col min="199" max="199" width="16.5703125" style="2" customWidth="1"/>
    <col min="200" max="200" width="20.140625" style="2" bestFit="1" customWidth="1"/>
    <col min="201" max="201" width="4.7109375" style="2" customWidth="1"/>
    <col min="202" max="202" width="7" style="102" customWidth="1"/>
    <col min="203" max="203" width="4.140625" style="2" customWidth="1"/>
    <col min="204" max="204" width="6" style="2" customWidth="1"/>
    <col min="205" max="205" width="11.140625" style="2" customWidth="1"/>
    <col min="206" max="206" width="34.85546875" style="2" customWidth="1"/>
    <col min="207" max="207" width="16.140625" style="2" customWidth="1"/>
    <col min="208" max="208" width="17.85546875" style="2" bestFit="1" customWidth="1"/>
    <col min="209" max="209" width="20.140625" style="2" customWidth="1"/>
    <col min="210" max="210" width="15.5703125" style="2" customWidth="1"/>
    <col min="211" max="211" width="17.85546875" style="2" bestFit="1" customWidth="1"/>
    <col min="212" max="212" width="15.5703125" style="2" customWidth="1"/>
    <col min="213" max="213" width="3" style="2" customWidth="1"/>
    <col min="214" max="214" width="7" style="102" customWidth="1"/>
    <col min="215" max="215" width="4.140625" style="2" customWidth="1"/>
    <col min="216" max="216" width="5.85546875" style="2" customWidth="1"/>
    <col min="217" max="217" width="15.5703125" style="2" customWidth="1"/>
    <col min="218" max="218" width="17.7109375" style="2" bestFit="1" customWidth="1"/>
    <col min="219" max="219" width="15.5703125" style="2" customWidth="1"/>
    <col min="220" max="220" width="17.7109375" style="2" bestFit="1" customWidth="1"/>
    <col min="221" max="221" width="11" style="2" customWidth="1"/>
    <col min="222" max="222" width="3" style="2" customWidth="1"/>
    <col min="223" max="223" width="7" style="102" customWidth="1"/>
    <col min="224" max="224" width="4.140625" style="2" customWidth="1"/>
    <col min="225" max="225" width="7.5703125" style="2" customWidth="1"/>
    <col min="226" max="226" width="10.28515625" style="2"/>
    <col min="227" max="227" width="32.7109375" style="2" bestFit="1" customWidth="1"/>
    <col min="228" max="228" width="16.42578125" style="2" customWidth="1"/>
    <col min="229" max="229" width="21.85546875" style="2" customWidth="1"/>
    <col min="230" max="230" width="23.140625" style="2" customWidth="1"/>
    <col min="231" max="231" width="11.5703125" style="2" customWidth="1"/>
    <col min="232" max="232" width="11" style="2" customWidth="1"/>
    <col min="233" max="233" width="16.5703125" style="2" customWidth="1"/>
    <col min="234" max="234" width="4.140625" style="2" customWidth="1"/>
    <col min="235" max="235" width="7" style="102" customWidth="1"/>
    <col min="236" max="236" width="4.140625" style="2" customWidth="1"/>
    <col min="237" max="238" width="14.140625" style="2" bestFit="1" customWidth="1"/>
    <col min="239" max="239" width="17.140625" style="2" bestFit="1" customWidth="1"/>
    <col min="240" max="240" width="10.28515625" style="2"/>
    <col min="241" max="241" width="22.85546875" style="2" bestFit="1" customWidth="1"/>
    <col min="242" max="242" width="13.85546875" style="2" bestFit="1" customWidth="1"/>
    <col min="243" max="243" width="13.28515625" style="2" bestFit="1" customWidth="1"/>
    <col min="244" max="244" width="22.7109375" style="2" customWidth="1"/>
    <col min="245" max="245" width="8.5703125" style="2" bestFit="1" customWidth="1"/>
    <col min="246" max="246" width="10.28515625" style="2"/>
    <col min="247" max="247" width="13.85546875" style="2" bestFit="1" customWidth="1"/>
    <col min="248" max="248" width="7" style="102" customWidth="1"/>
    <col min="249" max="249" width="14.42578125" style="2" bestFit="1" customWidth="1"/>
    <col min="250" max="250" width="4.7109375" style="2" bestFit="1" customWidth="1"/>
    <col min="251" max="251" width="12.7109375" style="2" customWidth="1"/>
    <col min="252" max="252" width="34.140625" style="2" customWidth="1"/>
    <col min="253" max="253" width="19" style="2" bestFit="1" customWidth="1"/>
    <col min="254" max="254" width="20.7109375" style="2" bestFit="1" customWidth="1"/>
    <col min="255" max="255" width="25.5703125" style="2" bestFit="1" customWidth="1"/>
    <col min="256" max="256" width="26.5703125" style="2" bestFit="1" customWidth="1"/>
    <col min="257" max="257" width="30.140625" style="2" bestFit="1" customWidth="1"/>
    <col min="258" max="258" width="28.28515625" style="2" customWidth="1"/>
    <col min="259" max="259" width="22.140625" style="2" bestFit="1" customWidth="1"/>
    <col min="260" max="260" width="17.7109375" style="2" bestFit="1" customWidth="1"/>
    <col min="261" max="261" width="15.140625" style="2" bestFit="1" customWidth="1"/>
    <col min="262" max="262" width="19" style="2" bestFit="1" customWidth="1"/>
    <col min="263" max="263" width="12.140625" style="2" customWidth="1"/>
    <col min="264" max="264" width="10.28515625" style="2"/>
    <col min="265" max="265" width="7" style="102" customWidth="1"/>
    <col min="266" max="266" width="10.28515625" style="2"/>
    <col min="267" max="267" width="11.5703125" style="2" bestFit="1" customWidth="1"/>
    <col min="268" max="268" width="9.85546875" style="2" bestFit="1" customWidth="1"/>
    <col min="269" max="269" width="33.85546875" style="2" customWidth="1"/>
    <col min="270" max="270" width="18.85546875" style="2" customWidth="1"/>
    <col min="271" max="271" width="20.42578125" style="2" customWidth="1"/>
    <col min="272" max="272" width="16.28515625" style="2" bestFit="1" customWidth="1"/>
    <col min="273" max="273" width="8.7109375" style="2" bestFit="1" customWidth="1"/>
    <col min="274" max="274" width="12.42578125" style="2" customWidth="1"/>
    <col min="275" max="275" width="14.42578125" style="2" customWidth="1"/>
    <col min="276" max="277" width="10.28515625" style="2"/>
    <col min="278" max="278" width="7" style="102" customWidth="1"/>
    <col min="279" max="279" width="10.28515625" style="2"/>
    <col min="280" max="282" width="17.28515625" style="2" bestFit="1" customWidth="1"/>
    <col min="283" max="283" width="11.5703125" style="2" bestFit="1" customWidth="1"/>
    <col min="284" max="284" width="29.85546875" style="2" bestFit="1" customWidth="1"/>
    <col min="285" max="285" width="15.85546875" style="2" customWidth="1"/>
    <col min="286" max="286" width="17.28515625" style="2" bestFit="1" customWidth="1"/>
    <col min="287" max="288" width="12.7109375" style="2" customWidth="1"/>
    <col min="289" max="289" width="17.140625" style="2" bestFit="1" customWidth="1"/>
    <col min="290" max="291" width="16.7109375" style="2" bestFit="1" customWidth="1"/>
    <col min="292" max="292" width="17.28515625" style="2" bestFit="1" customWidth="1"/>
    <col min="293" max="293" width="10.28515625" style="2"/>
    <col min="294" max="294" width="4.140625" style="43" customWidth="1"/>
  </cols>
  <sheetData>
    <row r="1" spans="1:294" s="44" customFormat="1" x14ac:dyDescent="0.3">
      <c r="A1" s="2"/>
      <c r="B1" s="1000" t="s">
        <v>274</v>
      </c>
      <c r="C1" s="1000"/>
      <c r="D1" s="1000"/>
      <c r="E1" s="1000"/>
      <c r="F1" s="1000"/>
      <c r="G1" s="712"/>
      <c r="H1" s="92"/>
      <c r="I1" s="712"/>
      <c r="J1" s="1000" t="s">
        <v>275</v>
      </c>
      <c r="K1" s="1000"/>
      <c r="L1" s="1000"/>
      <c r="M1" s="1000"/>
      <c r="N1" s="1000"/>
      <c r="O1" s="1000"/>
      <c r="P1" s="1000"/>
      <c r="Q1" s="1000"/>
      <c r="R1" s="1000"/>
      <c r="S1" s="712"/>
      <c r="T1" s="92"/>
      <c r="U1" s="712"/>
      <c r="V1" s="998" t="s">
        <v>276</v>
      </c>
      <c r="W1" s="998"/>
      <c r="X1" s="998"/>
      <c r="Y1" s="998"/>
      <c r="Z1" s="998"/>
      <c r="AA1" s="712"/>
      <c r="AB1" s="92"/>
      <c r="AC1" s="712"/>
      <c r="AD1" s="1000" t="s">
        <v>277</v>
      </c>
      <c r="AE1" s="1000"/>
      <c r="AF1" s="1000"/>
      <c r="AG1" s="1000"/>
      <c r="AH1" s="713"/>
      <c r="AI1" s="92"/>
      <c r="AJ1" s="712"/>
      <c r="AK1" s="1001" t="s">
        <v>278</v>
      </c>
      <c r="AL1" s="1001"/>
      <c r="AM1" s="1001"/>
      <c r="AN1" s="25"/>
      <c r="AO1" s="92"/>
      <c r="AP1" s="25"/>
      <c r="AQ1" s="999" t="s">
        <v>279</v>
      </c>
      <c r="AR1" s="999"/>
      <c r="AS1" s="999"/>
      <c r="AT1" s="999"/>
      <c r="AU1" s="999"/>
      <c r="AV1" s="999"/>
      <c r="AW1" s="999"/>
      <c r="AX1" s="999"/>
      <c r="AY1" s="999"/>
      <c r="AZ1" s="999"/>
      <c r="BA1" s="999"/>
      <c r="BB1" s="712"/>
      <c r="BC1" s="92"/>
      <c r="BD1" s="712"/>
      <c r="BE1" s="1001" t="s">
        <v>280</v>
      </c>
      <c r="BF1" s="1001"/>
      <c r="BG1" s="1001"/>
      <c r="BH1" s="1001"/>
      <c r="BI1" s="712"/>
      <c r="BJ1" s="92"/>
      <c r="BK1" s="712"/>
      <c r="BL1" s="1002" t="s">
        <v>281</v>
      </c>
      <c r="BM1" s="1002"/>
      <c r="BN1" s="1002"/>
      <c r="BO1" s="1002"/>
      <c r="BP1" s="1002"/>
      <c r="BQ1" s="1002"/>
      <c r="BR1" s="1002"/>
      <c r="BS1" s="1002"/>
      <c r="BT1" s="1002"/>
      <c r="BU1" s="712"/>
      <c r="BV1" s="92"/>
      <c r="BW1" s="712"/>
      <c r="BX1" s="998" t="s">
        <v>282</v>
      </c>
      <c r="BY1" s="998"/>
      <c r="BZ1" s="998"/>
      <c r="CA1" s="998"/>
      <c r="CB1" s="998"/>
      <c r="CC1" s="998"/>
      <c r="CD1" s="998"/>
      <c r="CE1" s="998"/>
      <c r="CF1" s="712"/>
      <c r="CG1" s="92"/>
      <c r="CH1" s="712"/>
      <c r="CI1" s="998" t="s">
        <v>283</v>
      </c>
      <c r="CJ1" s="998"/>
      <c r="CK1" s="998"/>
      <c r="CL1" s="998"/>
      <c r="CM1" s="998"/>
      <c r="CN1" s="998"/>
      <c r="CO1" s="998"/>
      <c r="CP1" s="998"/>
      <c r="CQ1" s="998"/>
      <c r="CR1" s="998"/>
      <c r="CS1" s="712"/>
      <c r="CT1" s="92"/>
      <c r="CU1" s="712"/>
      <c r="CV1" s="998" t="s">
        <v>284</v>
      </c>
      <c r="CW1" s="998"/>
      <c r="CX1" s="998"/>
      <c r="CY1" s="998"/>
      <c r="CZ1" s="998"/>
      <c r="DA1" s="998"/>
      <c r="DB1" s="998"/>
      <c r="DC1" s="998"/>
      <c r="DD1" s="998"/>
      <c r="DE1" s="712"/>
      <c r="DF1" s="92"/>
      <c r="DG1" s="712"/>
      <c r="DH1" s="1003" t="s">
        <v>285</v>
      </c>
      <c r="DI1" s="1003"/>
      <c r="DJ1" s="1003"/>
      <c r="DK1" s="1003"/>
      <c r="DL1" s="1003"/>
      <c r="DM1" s="1003"/>
      <c r="DN1" s="1003"/>
      <c r="DO1" s="1003"/>
      <c r="DP1" s="1003"/>
      <c r="DQ1" s="1003"/>
      <c r="DR1" s="1003"/>
      <c r="DS1" s="1003"/>
      <c r="DT1" s="712"/>
      <c r="DU1" s="92"/>
      <c r="DV1" s="712"/>
      <c r="DW1" s="1003" t="s">
        <v>286</v>
      </c>
      <c r="DX1" s="1003"/>
      <c r="DY1" s="1003"/>
      <c r="DZ1" s="1003"/>
      <c r="EA1" s="1003"/>
      <c r="EB1" s="1003"/>
      <c r="EC1" s="712"/>
      <c r="ED1" s="92"/>
      <c r="EE1" s="712"/>
      <c r="EF1" s="1000" t="s">
        <v>287</v>
      </c>
      <c r="EG1" s="1000"/>
      <c r="EH1" s="1000"/>
      <c r="EI1" s="1000"/>
      <c r="EJ1" s="1000"/>
      <c r="EK1" s="712"/>
      <c r="EL1" s="92"/>
      <c r="EM1" s="712"/>
      <c r="EN1" s="1003" t="s">
        <v>288</v>
      </c>
      <c r="EO1" s="1003"/>
      <c r="EP1" s="1003"/>
      <c r="EQ1" s="1003"/>
      <c r="ER1" s="1003"/>
      <c r="ES1" s="1003"/>
      <c r="ET1" s="1003"/>
      <c r="EU1" s="1003"/>
      <c r="EV1" s="1003"/>
      <c r="EW1" s="1003"/>
      <c r="EX1" s="1003"/>
      <c r="EY1" s="1003"/>
      <c r="EZ1" s="712"/>
      <c r="FA1" s="92"/>
      <c r="FB1" s="712"/>
      <c r="FC1" s="1000" t="s">
        <v>289</v>
      </c>
      <c r="FD1" s="1000"/>
      <c r="FE1" s="1000"/>
      <c r="FF1" s="712"/>
      <c r="FG1" s="92"/>
      <c r="FH1" s="712"/>
      <c r="FI1" s="1003" t="s">
        <v>290</v>
      </c>
      <c r="FJ1" s="1003"/>
      <c r="FK1" s="1003"/>
      <c r="FL1" s="1003"/>
      <c r="FM1" s="1003"/>
      <c r="FN1" s="1003"/>
      <c r="FO1" s="712"/>
      <c r="FP1" s="92"/>
      <c r="FQ1" s="25"/>
      <c r="FR1" s="998" t="s">
        <v>291</v>
      </c>
      <c r="FS1" s="998"/>
      <c r="FT1" s="998"/>
      <c r="FU1" s="998"/>
      <c r="FV1" s="998"/>
      <c r="FW1" s="998"/>
      <c r="FX1" s="998"/>
      <c r="FY1" s="998"/>
      <c r="FZ1" s="998"/>
      <c r="GA1" s="998"/>
      <c r="GB1" s="998"/>
      <c r="GC1" s="998"/>
      <c r="GD1" s="714"/>
      <c r="GE1" s="92"/>
      <c r="GF1" s="25"/>
      <c r="GG1" s="999" t="s">
        <v>292</v>
      </c>
      <c r="GH1" s="999"/>
      <c r="GI1" s="999"/>
      <c r="GJ1" s="999"/>
      <c r="GK1" s="999"/>
      <c r="GL1" s="999"/>
      <c r="GM1" s="999"/>
      <c r="GN1" s="999"/>
      <c r="GO1" s="999"/>
      <c r="GP1" s="999"/>
      <c r="GQ1" s="999"/>
      <c r="GR1" s="999"/>
      <c r="GS1" s="78"/>
      <c r="GT1" s="92"/>
      <c r="GU1" s="25"/>
      <c r="GV1" s="1000" t="s">
        <v>293</v>
      </c>
      <c r="GW1" s="1000"/>
      <c r="GX1" s="1000"/>
      <c r="GY1" s="1000"/>
      <c r="GZ1" s="1000"/>
      <c r="HA1" s="1000"/>
      <c r="HB1" s="1000"/>
      <c r="HC1" s="1000"/>
      <c r="HD1" s="1000"/>
      <c r="HE1" s="715"/>
      <c r="HF1" s="92"/>
      <c r="HG1" s="25"/>
      <c r="HH1" s="1000" t="s">
        <v>294</v>
      </c>
      <c r="HI1" s="1000"/>
      <c r="HJ1" s="1000"/>
      <c r="HK1" s="1000"/>
      <c r="HL1" s="1000"/>
      <c r="HM1" s="1000"/>
      <c r="HN1" s="715"/>
      <c r="HO1" s="92"/>
      <c r="HP1" s="25"/>
      <c r="HQ1" s="998" t="s">
        <v>295</v>
      </c>
      <c r="HR1" s="998"/>
      <c r="HS1" s="998"/>
      <c r="HT1" s="998"/>
      <c r="HU1" s="998"/>
      <c r="HV1" s="998"/>
      <c r="HW1" s="998"/>
      <c r="HX1" s="998"/>
      <c r="HY1" s="998"/>
      <c r="HZ1" s="712"/>
      <c r="IA1" s="92"/>
      <c r="IB1" s="712"/>
      <c r="IC1" s="1001" t="s">
        <v>296</v>
      </c>
      <c r="ID1" s="1001"/>
      <c r="IE1" s="1001"/>
      <c r="IF1" s="1001"/>
      <c r="IG1" s="1001"/>
      <c r="IH1" s="1001"/>
      <c r="II1" s="1001"/>
      <c r="IJ1" s="1001"/>
      <c r="IK1" s="1001"/>
      <c r="IL1" s="1001"/>
      <c r="IM1" s="712"/>
      <c r="IN1" s="92"/>
      <c r="IO1" s="712"/>
      <c r="IP1" s="1001" t="s">
        <v>297</v>
      </c>
      <c r="IQ1" s="1001"/>
      <c r="IR1" s="1001"/>
      <c r="IS1" s="1001"/>
      <c r="IT1" s="1001"/>
      <c r="IU1" s="1001"/>
      <c r="IV1" s="1001"/>
      <c r="IW1" s="1001"/>
      <c r="IX1" s="1001"/>
      <c r="IY1" s="1001"/>
      <c r="IZ1" s="1001"/>
      <c r="JA1" s="1001"/>
      <c r="JB1" s="1001"/>
      <c r="JC1" s="1001"/>
      <c r="JD1" s="25"/>
      <c r="JE1" s="92"/>
      <c r="JF1" s="25"/>
      <c r="JG1" s="998" t="s">
        <v>298</v>
      </c>
      <c r="JH1" s="998"/>
      <c r="JI1" s="998"/>
      <c r="JJ1" s="998"/>
      <c r="JK1" s="998"/>
      <c r="JL1" s="998"/>
      <c r="JM1" s="998"/>
      <c r="JN1" s="998"/>
      <c r="JO1" s="998"/>
      <c r="JP1" s="25"/>
      <c r="JQ1" s="25"/>
      <c r="JR1" s="92"/>
      <c r="JS1" s="712"/>
      <c r="JT1" s="935" t="s">
        <v>448</v>
      </c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40"/>
      <c r="KH1" s="41"/>
    </row>
    <row r="2" spans="1:294" ht="82.5" x14ac:dyDescent="0.3">
      <c r="B2" s="698"/>
      <c r="C2" s="711"/>
      <c r="D2" s="699" t="s">
        <v>299</v>
      </c>
      <c r="E2" s="699" t="s">
        <v>300</v>
      </c>
      <c r="F2" s="699" t="s">
        <v>301</v>
      </c>
      <c r="G2" s="6"/>
      <c r="I2" s="6"/>
      <c r="J2" s="698"/>
      <c r="K2" s="699" t="s">
        <v>302</v>
      </c>
      <c r="L2" s="699" t="s">
        <v>303</v>
      </c>
      <c r="M2" s="699" t="s">
        <v>304</v>
      </c>
      <c r="N2" s="699" t="s">
        <v>305</v>
      </c>
      <c r="O2" s="699" t="s">
        <v>306</v>
      </c>
      <c r="P2" s="699" t="s">
        <v>307</v>
      </c>
      <c r="Q2" s="699" t="s">
        <v>308</v>
      </c>
      <c r="R2" s="699" t="s">
        <v>309</v>
      </c>
      <c r="S2" s="6"/>
      <c r="U2" s="6"/>
      <c r="V2" s="729"/>
      <c r="W2" s="160" t="s">
        <v>302</v>
      </c>
      <c r="X2" s="160" t="s">
        <v>303</v>
      </c>
      <c r="Y2" s="160" t="s">
        <v>310</v>
      </c>
      <c r="Z2" s="160" t="s">
        <v>311</v>
      </c>
      <c r="AA2" s="6"/>
      <c r="AC2" s="6"/>
      <c r="AD2" s="700"/>
      <c r="AE2" s="701" t="s">
        <v>302</v>
      </c>
      <c r="AF2" s="699" t="s">
        <v>303</v>
      </c>
      <c r="AG2" s="701" t="s">
        <v>312</v>
      </c>
      <c r="AH2" s="6"/>
      <c r="AJ2" s="6"/>
      <c r="AK2" s="698"/>
      <c r="AL2" s="699"/>
      <c r="AM2" s="699" t="s">
        <v>129</v>
      </c>
      <c r="AN2" s="46"/>
      <c r="AP2" s="46"/>
      <c r="AQ2" s="698"/>
      <c r="AR2" s="699" t="s">
        <v>302</v>
      </c>
      <c r="AS2" s="699" t="s">
        <v>303</v>
      </c>
      <c r="AT2" s="699" t="s">
        <v>313</v>
      </c>
      <c r="AU2" s="699" t="s">
        <v>314</v>
      </c>
      <c r="AV2" s="699" t="s">
        <v>315</v>
      </c>
      <c r="AW2" s="699" t="s">
        <v>316</v>
      </c>
      <c r="AX2" s="699" t="s">
        <v>317</v>
      </c>
      <c r="AY2" s="699" t="s">
        <v>318</v>
      </c>
      <c r="AZ2" s="47" t="s">
        <v>319</v>
      </c>
      <c r="BA2" s="47" t="s">
        <v>320</v>
      </c>
      <c r="BB2" s="6"/>
      <c r="BD2" s="9"/>
      <c r="BE2" s="698"/>
      <c r="BF2" s="699" t="s">
        <v>321</v>
      </c>
      <c r="BG2" s="699" t="s">
        <v>322</v>
      </c>
      <c r="BH2" s="699" t="s">
        <v>323</v>
      </c>
      <c r="BI2" s="6"/>
      <c r="BK2" s="6"/>
      <c r="BL2" s="698"/>
      <c r="BM2" s="699" t="s">
        <v>302</v>
      </c>
      <c r="BN2" s="699" t="s">
        <v>303</v>
      </c>
      <c r="BO2" s="699" t="str">
        <f>BF4</f>
        <v>Direct and Collector Labour Allocator</v>
      </c>
      <c r="BP2" s="699" t="s">
        <v>324</v>
      </c>
      <c r="BQ2" s="699" t="str">
        <f>BF5</f>
        <v>Volume Allocator</v>
      </c>
      <c r="BR2" s="699" t="s">
        <v>325</v>
      </c>
      <c r="BS2" s="699" t="s">
        <v>326</v>
      </c>
      <c r="BT2" s="699" t="s">
        <v>301</v>
      </c>
      <c r="BU2" s="6"/>
      <c r="BW2" s="6"/>
      <c r="BX2" s="698"/>
      <c r="BY2" s="722"/>
      <c r="BZ2" s="699" t="s">
        <v>327</v>
      </c>
      <c r="CA2" s="699" t="s">
        <v>328</v>
      </c>
      <c r="CB2" s="699" t="s">
        <v>329</v>
      </c>
      <c r="CC2" s="699" t="s">
        <v>330</v>
      </c>
      <c r="CD2" s="699" t="s">
        <v>331</v>
      </c>
      <c r="CE2" s="699" t="s">
        <v>332</v>
      </c>
      <c r="CF2" s="6"/>
      <c r="CH2" s="6"/>
      <c r="CI2" s="698"/>
      <c r="CJ2" s="699" t="s">
        <v>302</v>
      </c>
      <c r="CK2" s="699" t="s">
        <v>303</v>
      </c>
      <c r="CL2" s="699" t="s">
        <v>333</v>
      </c>
      <c r="CM2" s="699" t="s">
        <v>334</v>
      </c>
      <c r="CN2" s="699" t="s">
        <v>335</v>
      </c>
      <c r="CO2" s="699" t="s">
        <v>336</v>
      </c>
      <c r="CP2" s="699" t="s">
        <v>337</v>
      </c>
      <c r="CQ2" s="699" t="s">
        <v>338</v>
      </c>
      <c r="CR2" s="699" t="s">
        <v>301</v>
      </c>
      <c r="CS2" s="6"/>
      <c r="CU2" s="6"/>
      <c r="CV2" s="698"/>
      <c r="CW2" s="699" t="s">
        <v>339</v>
      </c>
      <c r="CX2" s="699" t="s">
        <v>338</v>
      </c>
      <c r="CY2" s="699" t="s">
        <v>308</v>
      </c>
      <c r="CZ2" s="723" t="s">
        <v>333</v>
      </c>
      <c r="DA2" s="699" t="str">
        <f>CX2</f>
        <v>Building Allocator</v>
      </c>
      <c r="DB2" s="699" t="str">
        <f>CY2</f>
        <v>Pallet Allocator</v>
      </c>
      <c r="DC2" s="699" t="str">
        <f>CZ2</f>
        <v>Volume Allocator</v>
      </c>
      <c r="DD2" s="699" t="s">
        <v>340</v>
      </c>
      <c r="DE2" s="6"/>
      <c r="DG2" s="6"/>
      <c r="DH2" s="698"/>
      <c r="DI2" s="699" t="s">
        <v>302</v>
      </c>
      <c r="DJ2" s="699" t="s">
        <v>303</v>
      </c>
      <c r="DK2" s="699" t="s">
        <v>338</v>
      </c>
      <c r="DL2" s="699" t="s">
        <v>341</v>
      </c>
      <c r="DM2" s="699" t="s">
        <v>308</v>
      </c>
      <c r="DN2" s="699" t="s">
        <v>342</v>
      </c>
      <c r="DO2" s="699" t="s">
        <v>333</v>
      </c>
      <c r="DP2" s="699" t="s">
        <v>343</v>
      </c>
      <c r="DQ2" s="699" t="s">
        <v>344</v>
      </c>
      <c r="DR2" s="699" t="s">
        <v>345</v>
      </c>
      <c r="DS2" s="699" t="s">
        <v>301</v>
      </c>
      <c r="DT2" s="6"/>
      <c r="DV2" s="6"/>
      <c r="DW2" s="698"/>
      <c r="DX2" s="699" t="s">
        <v>302</v>
      </c>
      <c r="DY2" s="699" t="s">
        <v>303</v>
      </c>
      <c r="DZ2" s="699" t="s">
        <v>308</v>
      </c>
      <c r="EA2" s="699" t="s">
        <v>346</v>
      </c>
      <c r="EB2" s="699" t="s">
        <v>301</v>
      </c>
      <c r="EC2" s="6"/>
      <c r="EE2" s="6"/>
      <c r="EF2" s="724"/>
      <c r="EG2" s="699" t="s">
        <v>321</v>
      </c>
      <c r="EH2" s="699" t="s">
        <v>347</v>
      </c>
      <c r="EI2" s="699" t="s">
        <v>322</v>
      </c>
      <c r="EJ2" s="699" t="s">
        <v>323</v>
      </c>
      <c r="EK2" s="6"/>
      <c r="EM2" s="6"/>
      <c r="EN2" s="698"/>
      <c r="EO2" s="699" t="s">
        <v>302</v>
      </c>
      <c r="EP2" s="699" t="s">
        <v>303</v>
      </c>
      <c r="EQ2" s="699" t="s">
        <v>311</v>
      </c>
      <c r="ER2" s="699" t="s">
        <v>348</v>
      </c>
      <c r="ES2" s="699" t="s">
        <v>338</v>
      </c>
      <c r="ET2" s="699" t="s">
        <v>349</v>
      </c>
      <c r="EU2" s="699" t="s">
        <v>333</v>
      </c>
      <c r="EV2" s="699" t="s">
        <v>350</v>
      </c>
      <c r="EW2" s="699" t="s">
        <v>351</v>
      </c>
      <c r="EX2" s="699" t="s">
        <v>345</v>
      </c>
      <c r="EY2" s="699" t="s">
        <v>301</v>
      </c>
      <c r="EZ2" s="6"/>
      <c r="FB2" s="6"/>
      <c r="FC2" s="726"/>
      <c r="FD2" s="725" t="s">
        <v>128</v>
      </c>
      <c r="FE2" s="725" t="s">
        <v>352</v>
      </c>
      <c r="FF2" s="6"/>
      <c r="FH2" s="6"/>
      <c r="FI2" s="698"/>
      <c r="FJ2" s="699" t="s">
        <v>302</v>
      </c>
      <c r="FK2" s="699" t="s">
        <v>303</v>
      </c>
      <c r="FL2" s="699" t="str">
        <f>Z2</f>
        <v>Business Cost Allocator</v>
      </c>
      <c r="FM2" s="699" t="s">
        <v>353</v>
      </c>
      <c r="FN2" s="699" t="s">
        <v>301</v>
      </c>
      <c r="FO2" s="6"/>
      <c r="FR2" s="698"/>
      <c r="FS2" s="699" t="s">
        <v>302</v>
      </c>
      <c r="FT2" s="699" t="s">
        <v>303</v>
      </c>
      <c r="FU2" s="699" t="s">
        <v>354</v>
      </c>
      <c r="FV2" s="699" t="s">
        <v>49</v>
      </c>
      <c r="FW2" s="699" t="s">
        <v>355</v>
      </c>
      <c r="FX2" s="699" t="s">
        <v>53</v>
      </c>
      <c r="FY2" s="699" t="s">
        <v>51</v>
      </c>
      <c r="FZ2" s="699" t="s">
        <v>54</v>
      </c>
      <c r="GA2" s="699" t="s">
        <v>352</v>
      </c>
      <c r="GB2" s="699" t="s">
        <v>356</v>
      </c>
      <c r="GC2" s="699" t="s">
        <v>301</v>
      </c>
      <c r="GD2" s="6"/>
      <c r="GG2" s="698"/>
      <c r="GH2" s="699" t="s">
        <v>302</v>
      </c>
      <c r="GI2" s="699" t="s">
        <v>303</v>
      </c>
      <c r="GJ2" s="699" t="s">
        <v>357</v>
      </c>
      <c r="GK2" s="699" t="s">
        <v>358</v>
      </c>
      <c r="GL2" s="699" t="s">
        <v>359</v>
      </c>
      <c r="GM2" s="699" t="s">
        <v>360</v>
      </c>
      <c r="GN2" s="699" t="s">
        <v>361</v>
      </c>
      <c r="GO2" s="699" t="s">
        <v>362</v>
      </c>
      <c r="GP2" s="699" t="s">
        <v>363</v>
      </c>
      <c r="GQ2" s="699" t="s">
        <v>301</v>
      </c>
      <c r="GR2" s="699" t="s">
        <v>119</v>
      </c>
      <c r="GS2" s="48"/>
      <c r="GV2" s="698"/>
      <c r="GW2" s="699" t="s">
        <v>302</v>
      </c>
      <c r="GX2" s="699" t="s">
        <v>303</v>
      </c>
      <c r="GY2" s="699" t="s">
        <v>309</v>
      </c>
      <c r="GZ2" s="699" t="s">
        <v>356</v>
      </c>
      <c r="HA2" s="699" t="s">
        <v>119</v>
      </c>
      <c r="HB2" s="699" t="s">
        <v>364</v>
      </c>
      <c r="HC2" s="699" t="s">
        <v>365</v>
      </c>
      <c r="HD2" s="699" t="s">
        <v>366</v>
      </c>
      <c r="HE2" s="6"/>
      <c r="HH2" s="698"/>
      <c r="HI2" s="699" t="s">
        <v>309</v>
      </c>
      <c r="HJ2" s="699" t="s">
        <v>356</v>
      </c>
      <c r="HK2" s="699" t="s">
        <v>119</v>
      </c>
      <c r="HL2" s="699" t="s">
        <v>365</v>
      </c>
      <c r="HM2" s="699" t="s">
        <v>366</v>
      </c>
      <c r="HN2" s="6"/>
      <c r="HQ2" s="698"/>
      <c r="HR2" s="727" t="s">
        <v>302</v>
      </c>
      <c r="HS2" s="727" t="str">
        <f>FT2</f>
        <v>Container Stream</v>
      </c>
      <c r="HT2" s="727" t="s">
        <v>119</v>
      </c>
      <c r="HU2" s="727" t="s">
        <v>367</v>
      </c>
      <c r="HV2" s="727" t="s">
        <v>368</v>
      </c>
      <c r="HW2" s="727" t="s">
        <v>74</v>
      </c>
      <c r="HX2" s="727" t="s">
        <v>369</v>
      </c>
      <c r="HY2" s="727" t="s">
        <v>370</v>
      </c>
      <c r="HZ2" s="6"/>
      <c r="IC2" s="727" t="s">
        <v>371</v>
      </c>
      <c r="ID2" s="727" t="s">
        <v>372</v>
      </c>
      <c r="IE2" s="727" t="s">
        <v>373</v>
      </c>
      <c r="IF2" s="727" t="s">
        <v>374</v>
      </c>
      <c r="IG2" s="727" t="s">
        <v>375</v>
      </c>
      <c r="IH2" s="727" t="s">
        <v>299</v>
      </c>
      <c r="II2" s="727" t="s">
        <v>376</v>
      </c>
      <c r="IJ2" s="727" t="s">
        <v>377</v>
      </c>
      <c r="IK2" s="727" t="s">
        <v>378</v>
      </c>
      <c r="IL2" s="727" t="s">
        <v>379</v>
      </c>
      <c r="IM2" s="6"/>
      <c r="IO2" s="6"/>
      <c r="IP2" s="698"/>
      <c r="IQ2" s="727" t="s">
        <v>302</v>
      </c>
      <c r="IR2" s="727" t="s">
        <v>303</v>
      </c>
      <c r="IS2" s="727" t="s">
        <v>356</v>
      </c>
      <c r="IT2" s="727" t="s">
        <v>119</v>
      </c>
      <c r="IU2" s="727" t="s">
        <v>380</v>
      </c>
      <c r="IV2" s="727" t="s">
        <v>381</v>
      </c>
      <c r="IW2" s="727" t="s">
        <v>382</v>
      </c>
      <c r="IX2" s="727" t="s">
        <v>383</v>
      </c>
      <c r="IY2" s="728" t="s">
        <v>384</v>
      </c>
      <c r="IZ2" s="728" t="s">
        <v>385</v>
      </c>
      <c r="JA2" s="728" t="s">
        <v>386</v>
      </c>
      <c r="JB2" s="728" t="s">
        <v>387</v>
      </c>
      <c r="JC2" s="728" t="s">
        <v>388</v>
      </c>
      <c r="JG2" s="698"/>
      <c r="JH2" s="727" t="s">
        <v>302</v>
      </c>
      <c r="JI2" s="727" t="str">
        <f>FT2</f>
        <v>Container Stream</v>
      </c>
      <c r="JJ2" s="727" t="s">
        <v>119</v>
      </c>
      <c r="JK2" s="727" t="s">
        <v>389</v>
      </c>
      <c r="JL2" s="727" t="s">
        <v>390</v>
      </c>
      <c r="JM2" s="727" t="s">
        <v>74</v>
      </c>
      <c r="JN2" s="727" t="s">
        <v>369</v>
      </c>
      <c r="JO2" s="727" t="s">
        <v>370</v>
      </c>
      <c r="JT2" s="932" t="s">
        <v>446</v>
      </c>
      <c r="JU2" s="932" t="s">
        <v>134</v>
      </c>
      <c r="JV2" s="933" t="s">
        <v>119</v>
      </c>
      <c r="JW2" s="934" t="s">
        <v>447</v>
      </c>
      <c r="JX2" s="10" t="s">
        <v>451</v>
      </c>
      <c r="KH2" s="45"/>
    </row>
    <row r="3" spans="1:294" ht="18.75" customHeight="1" x14ac:dyDescent="0.3">
      <c r="B3" s="696" t="s">
        <v>135</v>
      </c>
      <c r="C3" s="696" t="s">
        <v>136</v>
      </c>
      <c r="D3" s="696" t="s">
        <v>137</v>
      </c>
      <c r="E3" s="696" t="s">
        <v>161</v>
      </c>
      <c r="F3" s="696" t="s">
        <v>139</v>
      </c>
      <c r="G3" s="8"/>
      <c r="H3" s="112"/>
      <c r="I3" s="8"/>
      <c r="J3" s="696" t="s">
        <v>135</v>
      </c>
      <c r="K3" s="696" t="s">
        <v>136</v>
      </c>
      <c r="L3" s="696" t="s">
        <v>137</v>
      </c>
      <c r="M3" s="696" t="s">
        <v>149</v>
      </c>
      <c r="N3" s="696" t="s">
        <v>139</v>
      </c>
      <c r="O3" s="696" t="s">
        <v>140</v>
      </c>
      <c r="P3" s="696" t="s">
        <v>141</v>
      </c>
      <c r="Q3" s="696" t="s">
        <v>142</v>
      </c>
      <c r="R3" s="696" t="s">
        <v>143</v>
      </c>
      <c r="S3" s="696"/>
      <c r="T3" s="112"/>
      <c r="U3" s="696"/>
      <c r="V3" s="696" t="s">
        <v>135</v>
      </c>
      <c r="W3" s="228" t="s">
        <v>136</v>
      </c>
      <c r="X3" s="228" t="s">
        <v>137</v>
      </c>
      <c r="Y3" s="228" t="s">
        <v>149</v>
      </c>
      <c r="Z3" s="228" t="s">
        <v>139</v>
      </c>
      <c r="AA3" s="696"/>
      <c r="AB3" s="112"/>
      <c r="AC3" s="696"/>
      <c r="AD3" s="696" t="s">
        <v>135</v>
      </c>
      <c r="AE3" s="696" t="s">
        <v>136</v>
      </c>
      <c r="AF3" s="696" t="s">
        <v>137</v>
      </c>
      <c r="AG3" s="696" t="s">
        <v>149</v>
      </c>
      <c r="AH3" s="696"/>
      <c r="AI3" s="112"/>
      <c r="AJ3" s="696"/>
      <c r="AK3" s="775" t="s">
        <v>135</v>
      </c>
      <c r="AL3" s="228" t="s">
        <v>136</v>
      </c>
      <c r="AM3" s="228" t="s">
        <v>137</v>
      </c>
      <c r="AN3" s="696"/>
      <c r="AO3" s="112"/>
      <c r="AP3" s="696"/>
      <c r="AQ3" s="775" t="s">
        <v>135</v>
      </c>
      <c r="AR3" s="228" t="s">
        <v>136</v>
      </c>
      <c r="AS3" s="228" t="s">
        <v>137</v>
      </c>
      <c r="AT3" s="228" t="s">
        <v>149</v>
      </c>
      <c r="AU3" s="782" t="s">
        <v>139</v>
      </c>
      <c r="AV3" s="228" t="s">
        <v>140</v>
      </c>
      <c r="AW3" s="228" t="s">
        <v>141</v>
      </c>
      <c r="AX3" s="228" t="s">
        <v>142</v>
      </c>
      <c r="AY3" s="228" t="s">
        <v>143</v>
      </c>
      <c r="AZ3" s="696" t="s">
        <v>145</v>
      </c>
      <c r="BA3" s="696" t="s">
        <v>144</v>
      </c>
      <c r="BB3" s="696"/>
      <c r="BC3" s="112"/>
      <c r="BD3" s="696"/>
      <c r="BE3" s="696" t="s">
        <v>135</v>
      </c>
      <c r="BF3" s="696" t="s">
        <v>136</v>
      </c>
      <c r="BG3" s="696" t="s">
        <v>149</v>
      </c>
      <c r="BH3" s="696" t="s">
        <v>139</v>
      </c>
      <c r="BI3" s="696"/>
      <c r="BJ3" s="112"/>
      <c r="BK3" s="696"/>
      <c r="BL3" s="696" t="s">
        <v>135</v>
      </c>
      <c r="BM3" s="228" t="s">
        <v>136</v>
      </c>
      <c r="BN3" s="228" t="s">
        <v>137</v>
      </c>
      <c r="BO3" s="228" t="s">
        <v>161</v>
      </c>
      <c r="BP3" s="228" t="s">
        <v>139</v>
      </c>
      <c r="BQ3" s="228" t="s">
        <v>140</v>
      </c>
      <c r="BR3" s="228" t="s">
        <v>141</v>
      </c>
      <c r="BS3" s="226" t="s">
        <v>142</v>
      </c>
      <c r="BT3" s="226" t="s">
        <v>143</v>
      </c>
      <c r="BU3" s="696"/>
      <c r="BV3" s="112"/>
      <c r="BW3" s="696"/>
      <c r="BX3" s="696" t="s">
        <v>135</v>
      </c>
      <c r="BY3" s="696" t="s">
        <v>136</v>
      </c>
      <c r="BZ3" s="696" t="s">
        <v>137</v>
      </c>
      <c r="CA3" s="696" t="s">
        <v>149</v>
      </c>
      <c r="CB3" s="696" t="s">
        <v>139</v>
      </c>
      <c r="CC3" s="696" t="s">
        <v>140</v>
      </c>
      <c r="CD3" s="696" t="s">
        <v>141</v>
      </c>
      <c r="CE3" s="696" t="s">
        <v>142</v>
      </c>
      <c r="CF3" s="696"/>
      <c r="CG3" s="112"/>
      <c r="CH3" s="696"/>
      <c r="CI3" s="696" t="s">
        <v>135</v>
      </c>
      <c r="CJ3" s="696" t="s">
        <v>136</v>
      </c>
      <c r="CK3" s="696" t="s">
        <v>137</v>
      </c>
      <c r="CL3" s="696" t="s">
        <v>149</v>
      </c>
      <c r="CM3" s="696" t="s">
        <v>139</v>
      </c>
      <c r="CN3" s="696" t="s">
        <v>140</v>
      </c>
      <c r="CO3" s="696" t="s">
        <v>141</v>
      </c>
      <c r="CP3" s="696" t="s">
        <v>142</v>
      </c>
      <c r="CQ3" s="696" t="s">
        <v>143</v>
      </c>
      <c r="CR3" s="696" t="s">
        <v>144</v>
      </c>
      <c r="CS3" s="696"/>
      <c r="CT3" s="112"/>
      <c r="CU3" s="696"/>
      <c r="CV3" s="696" t="s">
        <v>135</v>
      </c>
      <c r="CW3" s="696" t="s">
        <v>136</v>
      </c>
      <c r="CX3" s="696" t="s">
        <v>137</v>
      </c>
      <c r="CY3" s="696" t="s">
        <v>161</v>
      </c>
      <c r="CZ3" s="696" t="s">
        <v>139</v>
      </c>
      <c r="DA3" s="696" t="s">
        <v>162</v>
      </c>
      <c r="DB3" s="696" t="s">
        <v>391</v>
      </c>
      <c r="DC3" s="696" t="s">
        <v>142</v>
      </c>
      <c r="DD3" s="696" t="s">
        <v>392</v>
      </c>
      <c r="DE3" s="696"/>
      <c r="DF3" s="112"/>
      <c r="DG3" s="696"/>
      <c r="DH3" s="696" t="s">
        <v>135</v>
      </c>
      <c r="DI3" s="696" t="s">
        <v>136</v>
      </c>
      <c r="DJ3" s="696" t="s">
        <v>137</v>
      </c>
      <c r="DK3" s="696" t="s">
        <v>149</v>
      </c>
      <c r="DL3" s="696" t="s">
        <v>139</v>
      </c>
      <c r="DM3" s="696" t="s">
        <v>140</v>
      </c>
      <c r="DN3" s="696" t="s">
        <v>141</v>
      </c>
      <c r="DO3" s="696" t="s">
        <v>142</v>
      </c>
      <c r="DP3" s="696" t="s">
        <v>143</v>
      </c>
      <c r="DQ3" s="696" t="s">
        <v>144</v>
      </c>
      <c r="DR3" s="696" t="s">
        <v>145</v>
      </c>
      <c r="DS3" s="696" t="s">
        <v>146</v>
      </c>
      <c r="DT3" s="696"/>
      <c r="DU3" s="112"/>
      <c r="DV3" s="696"/>
      <c r="DW3" s="696" t="s">
        <v>135</v>
      </c>
      <c r="DX3" s="696" t="s">
        <v>136</v>
      </c>
      <c r="DY3" s="696" t="s">
        <v>137</v>
      </c>
      <c r="DZ3" s="696" t="s">
        <v>149</v>
      </c>
      <c r="EA3" s="696" t="s">
        <v>139</v>
      </c>
      <c r="EB3" s="696" t="s">
        <v>162</v>
      </c>
      <c r="EC3" s="696"/>
      <c r="ED3" s="112"/>
      <c r="EE3" s="696"/>
      <c r="EF3" s="696" t="s">
        <v>135</v>
      </c>
      <c r="EG3" s="696" t="s">
        <v>136</v>
      </c>
      <c r="EH3" s="696" t="s">
        <v>137</v>
      </c>
      <c r="EI3" s="696" t="s">
        <v>149</v>
      </c>
      <c r="EJ3" s="696" t="s">
        <v>139</v>
      </c>
      <c r="EK3" s="696"/>
      <c r="EL3" s="112"/>
      <c r="EM3" s="696"/>
      <c r="EN3" s="696" t="s">
        <v>135</v>
      </c>
      <c r="EO3" s="696" t="s">
        <v>136</v>
      </c>
      <c r="EP3" s="696" t="s">
        <v>137</v>
      </c>
      <c r="EQ3" s="696" t="s">
        <v>149</v>
      </c>
      <c r="ER3" s="696" t="s">
        <v>139</v>
      </c>
      <c r="ES3" s="696" t="s">
        <v>140</v>
      </c>
      <c r="ET3" s="696" t="s">
        <v>141</v>
      </c>
      <c r="EU3" s="696" t="s">
        <v>142</v>
      </c>
      <c r="EV3" s="696" t="s">
        <v>143</v>
      </c>
      <c r="EW3" s="696" t="s">
        <v>144</v>
      </c>
      <c r="EX3" s="696" t="s">
        <v>145</v>
      </c>
      <c r="EY3" s="696" t="s">
        <v>146</v>
      </c>
      <c r="EZ3" s="696"/>
      <c r="FA3" s="112"/>
      <c r="FB3" s="696"/>
      <c r="FC3" s="696" t="s">
        <v>135</v>
      </c>
      <c r="FD3" s="696" t="s">
        <v>136</v>
      </c>
      <c r="FE3" s="696" t="s">
        <v>137</v>
      </c>
      <c r="FF3" s="696"/>
      <c r="FG3" s="112"/>
      <c r="FH3" s="696"/>
      <c r="FI3" s="696" t="s">
        <v>135</v>
      </c>
      <c r="FJ3" s="696" t="s">
        <v>136</v>
      </c>
      <c r="FK3" s="696" t="s">
        <v>137</v>
      </c>
      <c r="FL3" s="696" t="s">
        <v>149</v>
      </c>
      <c r="FM3" s="696" t="s">
        <v>139</v>
      </c>
      <c r="FN3" s="696" t="s">
        <v>162</v>
      </c>
      <c r="FO3" s="696"/>
      <c r="FP3" s="112"/>
      <c r="FQ3" s="696"/>
      <c r="FR3" s="696" t="s">
        <v>135</v>
      </c>
      <c r="FS3" s="696" t="s">
        <v>136</v>
      </c>
      <c r="FT3" s="696" t="s">
        <v>137</v>
      </c>
      <c r="FU3" s="696" t="s">
        <v>149</v>
      </c>
      <c r="FV3" s="696" t="s">
        <v>139</v>
      </c>
      <c r="FW3" s="696" t="s">
        <v>140</v>
      </c>
      <c r="FX3" s="696" t="s">
        <v>141</v>
      </c>
      <c r="FY3" s="696" t="s">
        <v>142</v>
      </c>
      <c r="FZ3" s="696" t="s">
        <v>143</v>
      </c>
      <c r="GA3" s="696" t="s">
        <v>144</v>
      </c>
      <c r="GB3" s="696" t="s">
        <v>145</v>
      </c>
      <c r="GC3" s="696" t="s">
        <v>146</v>
      </c>
      <c r="GD3" s="696"/>
      <c r="GE3" s="112"/>
      <c r="GF3" s="696"/>
      <c r="GG3" s="696" t="s">
        <v>135</v>
      </c>
      <c r="GH3" s="696" t="s">
        <v>136</v>
      </c>
      <c r="GI3" s="696" t="s">
        <v>137</v>
      </c>
      <c r="GJ3" s="696" t="s">
        <v>149</v>
      </c>
      <c r="GK3" s="696" t="s">
        <v>139</v>
      </c>
      <c r="GL3" s="696" t="s">
        <v>140</v>
      </c>
      <c r="GM3" s="696" t="s">
        <v>141</v>
      </c>
      <c r="GN3" s="696" t="s">
        <v>142</v>
      </c>
      <c r="GO3" s="696" t="s">
        <v>143</v>
      </c>
      <c r="GP3" s="696" t="s">
        <v>144</v>
      </c>
      <c r="GQ3" s="696" t="s">
        <v>145</v>
      </c>
      <c r="GR3" s="696" t="s">
        <v>146</v>
      </c>
      <c r="GS3" s="716"/>
      <c r="GT3" s="112"/>
      <c r="GU3" s="696"/>
      <c r="GV3" s="696" t="s">
        <v>135</v>
      </c>
      <c r="GW3" s="696" t="s">
        <v>136</v>
      </c>
      <c r="GX3" s="696" t="s">
        <v>137</v>
      </c>
      <c r="GY3" s="696" t="s">
        <v>149</v>
      </c>
      <c r="GZ3" s="696" t="s">
        <v>139</v>
      </c>
      <c r="HA3" s="696" t="s">
        <v>140</v>
      </c>
      <c r="HB3" s="696" t="s">
        <v>141</v>
      </c>
      <c r="HC3" s="696" t="s">
        <v>142</v>
      </c>
      <c r="HD3" s="696" t="s">
        <v>143</v>
      </c>
      <c r="HE3" s="696"/>
      <c r="HF3" s="112"/>
      <c r="HG3" s="696"/>
      <c r="HH3" s="696" t="s">
        <v>135</v>
      </c>
      <c r="HI3" s="696" t="s">
        <v>136</v>
      </c>
      <c r="HJ3" s="696" t="s">
        <v>137</v>
      </c>
      <c r="HK3" s="696" t="s">
        <v>149</v>
      </c>
      <c r="HL3" s="696" t="s">
        <v>139</v>
      </c>
      <c r="HM3" s="696" t="s">
        <v>140</v>
      </c>
      <c r="HN3" s="696"/>
      <c r="HO3" s="112"/>
      <c r="HP3" s="696"/>
      <c r="HQ3" s="696" t="s">
        <v>135</v>
      </c>
      <c r="HR3" s="696" t="s">
        <v>136</v>
      </c>
      <c r="HS3" s="696" t="s">
        <v>137</v>
      </c>
      <c r="HT3" s="696" t="s">
        <v>149</v>
      </c>
      <c r="HU3" s="696" t="s">
        <v>139</v>
      </c>
      <c r="HV3" s="696"/>
      <c r="HW3" s="696"/>
      <c r="HX3" s="696" t="s">
        <v>142</v>
      </c>
      <c r="HY3" s="696" t="s">
        <v>143</v>
      </c>
      <c r="HZ3" s="696"/>
      <c r="IA3" s="112"/>
      <c r="IB3" s="696"/>
      <c r="IC3" s="696" t="s">
        <v>136</v>
      </c>
      <c r="ID3" s="696" t="s">
        <v>137</v>
      </c>
      <c r="IE3" s="696" t="s">
        <v>149</v>
      </c>
      <c r="IF3" s="696" t="s">
        <v>139</v>
      </c>
      <c r="IG3" s="696" t="s">
        <v>140</v>
      </c>
      <c r="IH3" s="696" t="s">
        <v>141</v>
      </c>
      <c r="II3" s="696" t="s">
        <v>142</v>
      </c>
      <c r="IJ3" s="696" t="s">
        <v>143</v>
      </c>
      <c r="IK3" s="696" t="s">
        <v>144</v>
      </c>
      <c r="IL3" s="696" t="s">
        <v>145</v>
      </c>
      <c r="IM3" s="696"/>
      <c r="IN3" s="112"/>
      <c r="IO3" s="696"/>
      <c r="IP3" s="696" t="s">
        <v>135</v>
      </c>
      <c r="IQ3" s="696" t="s">
        <v>136</v>
      </c>
      <c r="IR3" s="696" t="s">
        <v>137</v>
      </c>
      <c r="IS3" s="696" t="s">
        <v>149</v>
      </c>
      <c r="IT3" s="696" t="s">
        <v>139</v>
      </c>
      <c r="IU3" s="696" t="s">
        <v>140</v>
      </c>
      <c r="IV3" s="696" t="s">
        <v>141</v>
      </c>
      <c r="IW3" s="696" t="s">
        <v>142</v>
      </c>
      <c r="IX3" s="696" t="s">
        <v>143</v>
      </c>
      <c r="IY3" s="696" t="s">
        <v>144</v>
      </c>
      <c r="IZ3" s="696" t="s">
        <v>145</v>
      </c>
      <c r="JA3" s="696" t="s">
        <v>146</v>
      </c>
      <c r="JB3" s="696" t="s">
        <v>147</v>
      </c>
      <c r="JC3" s="696" t="s">
        <v>148</v>
      </c>
      <c r="JD3" s="696"/>
      <c r="JE3" s="112"/>
      <c r="JF3" s="696"/>
      <c r="JG3" s="696" t="s">
        <v>135</v>
      </c>
      <c r="JH3" s="696" t="s">
        <v>136</v>
      </c>
      <c r="JI3" s="696" t="s">
        <v>137</v>
      </c>
      <c r="JJ3" s="696" t="s">
        <v>149</v>
      </c>
      <c r="JK3" s="696" t="s">
        <v>139</v>
      </c>
      <c r="JL3" s="696" t="s">
        <v>140</v>
      </c>
      <c r="JM3" s="696" t="s">
        <v>141</v>
      </c>
      <c r="JN3" s="696" t="s">
        <v>142</v>
      </c>
      <c r="JO3" s="696" t="s">
        <v>143</v>
      </c>
      <c r="JP3" s="696"/>
      <c r="JR3" s="112"/>
      <c r="JT3" s="936">
        <v>3.3121089265402568</v>
      </c>
      <c r="JU3" s="936">
        <f>JT3-JK4</f>
        <v>-1.4879651628651125E-2</v>
      </c>
      <c r="JV3" s="13">
        <v>1110736372</v>
      </c>
      <c r="JW3" s="13">
        <f>JJ4-JV3</f>
        <v>-1671364.0387701988</v>
      </c>
      <c r="JX3" s="935" t="s">
        <v>455</v>
      </c>
      <c r="JY3" s="912">
        <f>-SUMPRODUCT(JT3:JT26,JW3:JW26)/100</f>
        <v>644443.61901550158</v>
      </c>
      <c r="KH3" s="50"/>
    </row>
    <row r="4" spans="1:294" ht="17.25" thickBot="1" x14ac:dyDescent="0.35">
      <c r="B4" s="756">
        <v>1</v>
      </c>
      <c r="C4" s="764" t="s">
        <v>47</v>
      </c>
      <c r="D4" s="906">
        <f>'ABDA 8 month Phase I'!LJ27</f>
        <v>33975077.535708085</v>
      </c>
      <c r="E4" s="765">
        <v>0.29875344528702852</v>
      </c>
      <c r="F4" s="766">
        <v>1.545488877705318</v>
      </c>
      <c r="H4" s="152"/>
      <c r="J4" s="756">
        <v>1</v>
      </c>
      <c r="K4" s="757">
        <v>1</v>
      </c>
      <c r="L4" s="732" t="s">
        <v>398</v>
      </c>
      <c r="M4" s="904">
        <v>1109065007.9612298</v>
      </c>
      <c r="N4" s="944">
        <f>M4/$M$28</f>
        <v>0.5045014636551638</v>
      </c>
      <c r="O4" s="753">
        <v>2233.0532719472985</v>
      </c>
      <c r="P4" s="948">
        <f>IFERROR(M4/O4,0)</f>
        <v>496658.55351228919</v>
      </c>
      <c r="Q4" s="733">
        <f>P4/$P$28</f>
        <v>0.28383680648434351</v>
      </c>
      <c r="R4" s="758" t="s">
        <v>397</v>
      </c>
      <c r="T4" s="152"/>
      <c r="V4" s="730">
        <v>1</v>
      </c>
      <c r="W4" s="731">
        <f t="shared" ref="W4:W27" si="0">FS4</f>
        <v>1</v>
      </c>
      <c r="X4" s="732" t="s">
        <v>398</v>
      </c>
      <c r="Y4" s="924">
        <f>SUM(FU4:FY4)</f>
        <v>28782934.531874407</v>
      </c>
      <c r="Z4" s="944">
        <f>SUM(FU4:FY4)/SUM($FU$28:$FY$28)</f>
        <v>0.34439174608197598</v>
      </c>
      <c r="AB4" s="152"/>
      <c r="AD4" s="730">
        <v>1</v>
      </c>
      <c r="AE4" s="746">
        <v>1</v>
      </c>
      <c r="AF4" s="747" t="s">
        <v>398</v>
      </c>
      <c r="AG4" s="748">
        <v>1.94</v>
      </c>
      <c r="AI4" s="152"/>
      <c r="AK4" s="730">
        <v>1</v>
      </c>
      <c r="AL4" s="776" t="s">
        <v>394</v>
      </c>
      <c r="AM4" s="908">
        <f>'ABDA 8 month Phase I'!LJ27+'ABDA 8 month Phase I'!LL27</f>
        <v>36010161.289838716</v>
      </c>
      <c r="AN4" s="52"/>
      <c r="AO4" s="152"/>
      <c r="AP4" s="52"/>
      <c r="AQ4" s="730">
        <v>1</v>
      </c>
      <c r="AR4" s="783">
        <f t="shared" ref="AR4:AR27" si="1">FS4</f>
        <v>1</v>
      </c>
      <c r="AS4" s="732" t="s">
        <v>398</v>
      </c>
      <c r="AT4" s="732">
        <f t="shared" ref="AT4:AT27" si="2">VLOOKUP(AR4,$AE$4:$AG$27,$AT$30,FALSE)</f>
        <v>1.94</v>
      </c>
      <c r="AU4" s="784">
        <f>$M4</f>
        <v>1109065007.9612298</v>
      </c>
      <c r="AV4" s="784">
        <f>AU4*AT4/3600</f>
        <v>597662.80984577374</v>
      </c>
      <c r="AW4" s="785">
        <f t="shared" ref="AW4:AW27" si="3">AV4*$AM$5/$AV$28</f>
        <v>622284.57696221175</v>
      </c>
      <c r="AX4" s="786">
        <f t="shared" ref="AX4:AX27" si="4">$AM$6</f>
        <v>18.28923031912322</v>
      </c>
      <c r="AY4" s="379">
        <f>AW4*AX4</f>
        <v>11381105.95210005</v>
      </c>
      <c r="AZ4" s="51">
        <f>AY4/$AY$28</f>
        <v>0.3160526236052032</v>
      </c>
      <c r="BA4" s="53">
        <f t="shared" ref="BA4:BA27" si="5">IF($AU4=0,0,ROUND(IF(VLOOKUP(AR4,$AR$4:$AU$27,$BA$30,FALSE)&lt;&gt;0,AY4/VLOOKUP(AR4,$AR$4:$AU$27,$BA$30,FALSE)*100,""),6))</f>
        <v>1.026189</v>
      </c>
      <c r="BC4" s="152"/>
      <c r="BE4" s="756">
        <v>1</v>
      </c>
      <c r="BF4" s="732" t="str">
        <f>AZ2</f>
        <v>Direct and Collector Labour Allocator</v>
      </c>
      <c r="BG4" s="733">
        <v>0.5</v>
      </c>
      <c r="BH4" s="379">
        <f>BG4*$BH$6</f>
        <v>7855598.930964387</v>
      </c>
      <c r="BJ4" s="152"/>
      <c r="BL4" s="756">
        <v>1</v>
      </c>
      <c r="BM4" s="758">
        <f t="shared" ref="BM4:BM27" si="6">FS4</f>
        <v>1</v>
      </c>
      <c r="BN4" s="732" t="s">
        <v>398</v>
      </c>
      <c r="BO4" s="733">
        <f t="shared" ref="BO4:BO27" si="7">VLOOKUP(BM4,$AR$4:$AZ$28,$BO$30,FALSE)</f>
        <v>0.3160526236052032</v>
      </c>
      <c r="BP4" s="379">
        <f>BO4*$BP$28</f>
        <v>2482782.6521215239</v>
      </c>
      <c r="BQ4" s="733">
        <f t="shared" ref="BQ4:BQ27" si="8">VLOOKUP(BM4,$K$4:$N$27,$BQ$30,FALSE)</f>
        <v>0.5045014636551638</v>
      </c>
      <c r="BR4" s="379">
        <f>BQ4*$BR$28</f>
        <v>3963161.1585594732</v>
      </c>
      <c r="BS4" s="807">
        <f t="shared" ref="BS4:BS27" si="9">BR4+BP4</f>
        <v>6445943.8106809966</v>
      </c>
      <c r="BT4" s="808">
        <f t="shared" ref="BT4:BT26" si="10">IF($AU4=0,0,ROUND(IF(VLOOKUP(BM4,$AR$4:$AU$27,$BA$30,FALSE)&lt;&gt;0,BS4/VLOOKUP(BM4,$AR$4:$AU$27,$BA$30,FALSE)*100,""),6))</f>
        <v>0.58120499999999997</v>
      </c>
      <c r="BV4" s="152"/>
      <c r="BX4" s="756">
        <v>1</v>
      </c>
      <c r="BY4" s="732" t="s">
        <v>395</v>
      </c>
      <c r="BZ4" s="765">
        <v>7.7020923698511642E-2</v>
      </c>
      <c r="CA4" s="821">
        <f>BZ4*$CA$9</f>
        <v>1752639.4670561224</v>
      </c>
      <c r="CB4" s="766">
        <v>1</v>
      </c>
      <c r="CC4" s="766"/>
      <c r="CD4" s="821">
        <f t="shared" ref="CD4:CE8" si="11">CB4*$CA4</f>
        <v>1752639.4670561224</v>
      </c>
      <c r="CE4" s="821">
        <f t="shared" si="11"/>
        <v>0</v>
      </c>
      <c r="CG4" s="152"/>
      <c r="CI4" s="730">
        <v>1</v>
      </c>
      <c r="CJ4" s="746">
        <f t="shared" ref="CJ4:CJ27" si="12">FS4</f>
        <v>1</v>
      </c>
      <c r="CK4" s="732" t="s">
        <v>398</v>
      </c>
      <c r="CL4" s="733">
        <f t="shared" ref="CL4:CL27" si="13">VLOOKUP(CJ4,$K$4:$N$27,$CL$31,FALSE)</f>
        <v>0.5045014636551638</v>
      </c>
      <c r="CM4" s="379">
        <f t="shared" ref="CM4:CM27" si="14">CL4*$CM$28</f>
        <v>2701221.9796442743</v>
      </c>
      <c r="CN4" s="733">
        <f t="shared" ref="CN4:CN27" si="15">VLOOKUP(CJ4,$K$4:$Q$27,$CN$31,FALSE)</f>
        <v>0.28383680648434351</v>
      </c>
      <c r="CO4" s="379">
        <f t="shared" ref="CO4:CO27" si="16">CN4*$CO$28</f>
        <v>4939080.5823058747</v>
      </c>
      <c r="CP4" s="379">
        <f t="shared" ref="CP4:CP27" si="17">CO4+CM4</f>
        <v>7640302.561950149</v>
      </c>
      <c r="CQ4" s="733">
        <f t="shared" ref="CQ4:CQ27" si="18">CP4/$CP$28</f>
        <v>0.33575825018133187</v>
      </c>
      <c r="CR4" s="808">
        <f t="shared" ref="CR4:CR27" si="19">IF($AU4=0,0,ROUND(IF(VLOOKUP(CJ4,$AR$4:$AU$27,$BA$30,FALSE)&lt;&gt;0,CP4/VLOOKUP(CJ4,$AR$4:$AU$27,$BA$30,FALSE)*100,""),6))</f>
        <v>0.68889599999999995</v>
      </c>
      <c r="CT4" s="152"/>
      <c r="CV4" s="756">
        <v>1</v>
      </c>
      <c r="CW4" s="831" t="s">
        <v>393</v>
      </c>
      <c r="CX4" s="733">
        <v>0</v>
      </c>
      <c r="CY4" s="733">
        <v>0.5</v>
      </c>
      <c r="CZ4" s="832">
        <v>0.5</v>
      </c>
      <c r="DA4" s="906">
        <v>0</v>
      </c>
      <c r="DB4" s="906">
        <f>DD4*0.5</f>
        <v>1950133.8462537355</v>
      </c>
      <c r="DC4" s="906">
        <f>DB4</f>
        <v>1950133.8462537355</v>
      </c>
      <c r="DD4" s="906">
        <f>$DD$7*DD11</f>
        <v>3900267.692507471</v>
      </c>
      <c r="DF4" s="152"/>
      <c r="DH4" s="730">
        <v>1</v>
      </c>
      <c r="DI4" s="840">
        <f t="shared" ref="DI4:DI27" si="20">FS4</f>
        <v>1</v>
      </c>
      <c r="DJ4" s="732" t="s">
        <v>398</v>
      </c>
      <c r="DK4" s="733">
        <f t="shared" ref="DK4:DK27" si="21">VLOOKUP(DI4,$CJ$4:$CQ$27,$DK$31,FALSE)</f>
        <v>0.33575825018133187</v>
      </c>
      <c r="DL4" s="379">
        <f>DK4*$DL$28</f>
        <v>105800.40572869008</v>
      </c>
      <c r="DM4" s="733">
        <f t="shared" ref="DM4:DM27" si="22">VLOOKUP(DI4,$K$4:$R$27,$DM$31,FALSE)</f>
        <v>0.28383680648434351</v>
      </c>
      <c r="DN4" s="379">
        <f t="shared" ref="DN4:DN27" si="23">DM4*$DN$28</f>
        <v>553519.76313769002</v>
      </c>
      <c r="DO4" s="733">
        <f t="shared" ref="DO4:DO27" si="24">VLOOKUP(DI4,$K$4:$R$27,$DO$31,FALSE)</f>
        <v>0.5045014636551638</v>
      </c>
      <c r="DP4" s="379">
        <f t="shared" ref="DP4:DP27" si="25">DO4*$DP$28</f>
        <v>1638055.5545203716</v>
      </c>
      <c r="DQ4" s="379">
        <f>DL4+DN4+DP4</f>
        <v>2297375.7233867515</v>
      </c>
      <c r="DR4" s="733">
        <f t="shared" ref="DR4:DR27" si="26">DQ4/$DQ$28</f>
        <v>0.41678604929174085</v>
      </c>
      <c r="DS4" s="808">
        <f t="shared" ref="DS4:DS27" si="27">IF($AU4=0,0,ROUND(IF(VLOOKUP(DI4,$AR$4:$AU$27,$BA$30,FALSE)&lt;&gt;0,DQ4/VLOOKUP(DI4,$AR$4:$AU$27,$BA$30,FALSE)*100,""),6))</f>
        <v>0.207145</v>
      </c>
      <c r="DU4" s="152"/>
      <c r="DW4" s="730">
        <v>1</v>
      </c>
      <c r="DX4" s="840">
        <f t="shared" ref="DX4:DX27" si="28">GH4</f>
        <v>1</v>
      </c>
      <c r="DY4" s="732" t="s">
        <v>398</v>
      </c>
      <c r="DZ4" s="733">
        <f t="shared" ref="DZ4:DZ27" si="29">VLOOKUP(DX4,$K$4:$R$27,$DZ$32,FALSE)</f>
        <v>0.28383680648434351</v>
      </c>
      <c r="EA4" s="379">
        <f t="shared" ref="EA4:EA27" si="30">DZ4*$EA$28</f>
        <v>1018206.4837564636</v>
      </c>
      <c r="EB4" s="808">
        <f t="shared" ref="EB4:EB27" si="31">IF($AU4=0,0,ROUND(IF(VLOOKUP(DX4,$AR$4:$AU$27,$BA$30,FALSE)&lt;&gt;0,EA4/VLOOKUP(DX4,$AR$4:$AU$27,$BA$30,FALSE)*100,""),6))</f>
        <v>9.1808000000000001E-2</v>
      </c>
      <c r="ED4" s="152"/>
      <c r="EF4" s="756">
        <v>1</v>
      </c>
      <c r="EG4" s="732" t="s">
        <v>396</v>
      </c>
      <c r="EH4" s="379">
        <v>6463181.7817969695</v>
      </c>
      <c r="EI4" s="765">
        <f>EH4/$EH$7</f>
        <v>0.66842565170833068</v>
      </c>
      <c r="EJ4" s="379">
        <f>EI4*$EJ$7</f>
        <v>7139079.8859692886</v>
      </c>
      <c r="EL4" s="152"/>
      <c r="EN4" s="730">
        <v>1</v>
      </c>
      <c r="EO4" s="840">
        <f t="shared" ref="EO4:EO27" si="32">FS4</f>
        <v>1</v>
      </c>
      <c r="EP4" s="732" t="s">
        <v>398</v>
      </c>
      <c r="EQ4" s="733">
        <f t="shared" ref="EQ4:EQ27" si="33">VLOOKUP(EO4,$W$4:$Z$27,$EQ$31,FALSE)</f>
        <v>0.34439174608197598</v>
      </c>
      <c r="ER4" s="379">
        <f t="shared" ref="ER4:ER27" si="34">EQ4*$ER$28</f>
        <v>2458640.1873476771</v>
      </c>
      <c r="ES4" s="733">
        <f t="shared" ref="ES4:ES27" si="35">VLOOKUP(EO4,$CJ$4:$CQ$27,$ES$31,FALSE)</f>
        <v>0.33575825018133187</v>
      </c>
      <c r="ET4" s="379">
        <f t="shared" ref="ET4:ET27" si="36">ES4*$ET$28</f>
        <v>323182.43680206948</v>
      </c>
      <c r="EU4" s="733">
        <f t="shared" ref="EU4:EU27" si="37">VLOOKUP(EO4,$K$4:$N$27,$EU$31,FALSE)</f>
        <v>0.5045014636551638</v>
      </c>
      <c r="EV4" s="379">
        <f t="shared" ref="EV4:EV27" si="38">EU4*$EV$28</f>
        <v>1301015.8446358512</v>
      </c>
      <c r="EW4" s="379">
        <f t="shared" ref="EW4:EW27" si="39">ER4+ET4+EV4</f>
        <v>4082838.4687855979</v>
      </c>
      <c r="EX4" s="733">
        <f t="shared" ref="EX4:EX27" si="40">EW4/$EW$28</f>
        <v>0.38227250680881325</v>
      </c>
      <c r="EY4" s="808">
        <f t="shared" ref="EY4:EY27" si="41">IF($AU4=0,0,ROUND(IF(VLOOKUP(EO4,$AR$4:$AU$27,$BA$30,FALSE)&lt;&gt;0,EW4/VLOOKUP(EO4,$AR$4:$AU$27,$BA$30,FALSE)*100,""),6))</f>
        <v>0.36813299999999999</v>
      </c>
      <c r="FA4" s="152"/>
      <c r="FC4" s="756">
        <v>1</v>
      </c>
      <c r="FD4" s="764" t="s">
        <v>250</v>
      </c>
      <c r="FE4" s="379">
        <f>D11</f>
        <v>18998322.143907189</v>
      </c>
      <c r="FG4" s="152"/>
      <c r="FI4" s="730">
        <v>1</v>
      </c>
      <c r="FJ4" s="731">
        <f t="shared" ref="FJ4:FJ27" si="42">FS4</f>
        <v>1</v>
      </c>
      <c r="FK4" s="732" t="s">
        <v>398</v>
      </c>
      <c r="FL4" s="733">
        <f t="shared" ref="FL4:FL28" si="43">Z4</f>
        <v>0.34439174608197598</v>
      </c>
      <c r="FM4" s="379">
        <f t="shared" ref="FM4:FM27" si="44">Z4*$FM$28</f>
        <v>6472370.5536962217</v>
      </c>
      <c r="FN4" s="808">
        <f t="shared" ref="FN4:FN27" si="45">IF($AU4=0,0,ROUND(IF(VLOOKUP(FJ4,$AR$4:$AU$27,$BA$30,FALSE)&lt;&gt;0,FM4/VLOOKUP(FJ4,$AR$4:$AU$27,$BA$30,FALSE)*100,""),6))</f>
        <v>0.583588</v>
      </c>
      <c r="FP4" s="152"/>
      <c r="FR4" s="730">
        <v>1</v>
      </c>
      <c r="FS4" s="731">
        <v>1</v>
      </c>
      <c r="FT4" s="732" t="s">
        <v>398</v>
      </c>
      <c r="FU4" s="379">
        <f t="shared" ref="FU4:FU27" si="46">VLOOKUP(FS4,$AR$4:$BA$27,$FU$30,FALSE)</f>
        <v>11381105.95210005</v>
      </c>
      <c r="FV4" s="379">
        <f t="shared" ref="FV4:FV27" si="47">VLOOKUP(FS4,$BM$4:$BT$86,$FV$30,FALSE)</f>
        <v>6445943.8106809966</v>
      </c>
      <c r="FW4" s="379">
        <f t="shared" ref="FW4:FW27" si="48">VLOOKUP(FS4,$CJ$4:$CR$27,$FW$30,FALSE)</f>
        <v>7640302.561950149</v>
      </c>
      <c r="FX4" s="379">
        <f t="shared" ref="FX4:FX27" si="49">VLOOKUP(FS4,$DI$4:$DQ$27,$FX$30,FALSE)</f>
        <v>2297375.7233867515</v>
      </c>
      <c r="FY4" s="379">
        <f t="shared" ref="FY4:FY27" si="50">VLOOKUP(FS4,$DX$4:$EB$27,$FY$30,FALSE)</f>
        <v>1018206.4837564636</v>
      </c>
      <c r="FZ4" s="379">
        <f t="shared" ref="FZ4:FZ27" si="51">VLOOKUP(FS4,$EO$4:$EW$28,$FZ$31,FALSE)</f>
        <v>4082838.4687855979</v>
      </c>
      <c r="GA4" s="379">
        <f t="shared" ref="GA4:GA27" si="52">VLOOKUP(FS4,$FJ$4:$FM$27,$GA$30,FALSE)</f>
        <v>6472370.5536962217</v>
      </c>
      <c r="GB4" s="379">
        <f t="shared" ref="GB4:GB23" si="53">SUM(FU4:GA4)</f>
        <v>39338143.554356225</v>
      </c>
      <c r="GC4" s="852">
        <f t="shared" ref="GC4:GC27" si="54">IF($AU4=0,0,ROUND(IF(VLOOKUP(FS4,$AR$4:$AU$27,$BA$30,FALSE)&lt;&gt;0,GB4/VLOOKUP(FS4,$AR$4:$AU$27,$BA$30,FALSE)*100,""),6))</f>
        <v>3.5469650000000001</v>
      </c>
      <c r="GE4" s="152"/>
      <c r="GG4" s="730">
        <v>1</v>
      </c>
      <c r="GH4" s="731">
        <f t="shared" ref="GH4:GH27" si="55">FS4</f>
        <v>1</v>
      </c>
      <c r="GI4" s="732" t="s">
        <v>398</v>
      </c>
      <c r="GJ4" s="808">
        <f t="shared" ref="GJ4:GJ27" si="56">VLOOKUP(GH4,$AR$4:$BA$27,$GJ$30,FALSE)</f>
        <v>1.026189</v>
      </c>
      <c r="GK4" s="808">
        <f t="shared" ref="GK4:GK27" si="57">VLOOKUP(GH4,$BM$4:$BT$27,$GK$30,FALSE)</f>
        <v>0.58120499999999997</v>
      </c>
      <c r="GL4" s="808">
        <f t="shared" ref="GL4:GL27" si="58">VLOOKUP(GH4,$CJ$4:$CR$27,$GL$30,FALSE)</f>
        <v>0.68889599999999995</v>
      </c>
      <c r="GM4" s="808">
        <f t="shared" ref="GM4:GM27" si="59">VLOOKUP(GH4,$DI$4:$DS$27,$GM$30,FALSE)</f>
        <v>0.207145</v>
      </c>
      <c r="GN4" s="808">
        <f t="shared" ref="GN4:GN27" si="60">VLOOKUP(GH4,$DX$4:$EB$27,$GN$30,FALSE)</f>
        <v>9.1808000000000001E-2</v>
      </c>
      <c r="GO4" s="808">
        <f t="shared" ref="GO4:GO27" si="61">VLOOKUP(GH4,$EO$4:$EY$28,$GO$30,FALSE)</f>
        <v>0.36813299999999999</v>
      </c>
      <c r="GP4" s="808">
        <f t="shared" ref="GP4:GP27" si="62">VLOOKUP(GH4,$FJ$4:$FN$27,$GP$30,FALSE)</f>
        <v>0.583588</v>
      </c>
      <c r="GQ4" s="808">
        <f t="shared" ref="GQ4:GQ27" si="63">VLOOKUP(GH4,$FS$4:$GC$27,$GQ$30,FALSE)</f>
        <v>3.5469650000000001</v>
      </c>
      <c r="GR4" s="784">
        <f>$M4</f>
        <v>1109065007.9612298</v>
      </c>
      <c r="GS4" s="716"/>
      <c r="GT4" s="152"/>
      <c r="GV4" s="717">
        <v>1</v>
      </c>
      <c r="GW4" s="731">
        <v>1</v>
      </c>
      <c r="GX4" s="732" t="s">
        <v>398</v>
      </c>
      <c r="GY4" s="758" t="s">
        <v>397</v>
      </c>
      <c r="GZ4" s="906">
        <f>GB4</f>
        <v>39338143.554356225</v>
      </c>
      <c r="HA4" s="784">
        <f>$M4</f>
        <v>1109065007.9612298</v>
      </c>
      <c r="HB4" s="922">
        <f>ROUND(IF(HA4&lt;&gt;0,GZ4/HA4*100,0),6)</f>
        <v>3.5469650000000001</v>
      </c>
      <c r="HC4" s="942">
        <f>ROUND(HB4,10)*HA4/100</f>
        <v>39338147.659632035</v>
      </c>
      <c r="HD4" s="857">
        <v>-3.4865899011492729</v>
      </c>
      <c r="HE4" s="54"/>
      <c r="HF4" s="152"/>
      <c r="HH4" s="756">
        <v>1</v>
      </c>
      <c r="HI4" s="732" t="s">
        <v>397</v>
      </c>
      <c r="HJ4" s="861">
        <v>110332325.27195437</v>
      </c>
      <c r="HK4" s="926">
        <f>HJ4/$HJ$6</f>
        <v>0.9815824312040301</v>
      </c>
      <c r="HL4" s="927">
        <f>SUMIF($GY$4:$GY$27,$HI4,HC$4:HC$27)</f>
        <v>110793710.66313663</v>
      </c>
      <c r="HM4" s="857">
        <v>-3.0492196594498182</v>
      </c>
      <c r="HN4" s="54"/>
      <c r="HO4" s="152"/>
      <c r="HQ4" s="730">
        <v>1</v>
      </c>
      <c r="HR4" s="867">
        <v>1</v>
      </c>
      <c r="HS4" s="732" t="s">
        <v>398</v>
      </c>
      <c r="HT4" s="784">
        <f>$M4</f>
        <v>1109065007.9612298</v>
      </c>
      <c r="HU4" s="917">
        <f>HB4</f>
        <v>3.5469650000000001</v>
      </c>
      <c r="HV4" s="868"/>
      <c r="HW4" s="765"/>
      <c r="HX4" s="868">
        <v>-0.76812300000000011</v>
      </c>
      <c r="HY4" s="766">
        <v>10</v>
      </c>
      <c r="IA4" s="152"/>
      <c r="IC4" s="876">
        <v>2112495296</v>
      </c>
      <c r="ID4" s="876">
        <f>M28</f>
        <v>2198338533.8982811</v>
      </c>
      <c r="IE4" s="877">
        <f>(ID4-IC4)/IC4</f>
        <v>4.0635942745446518E-2</v>
      </c>
      <c r="IF4" s="876">
        <v>1500000</v>
      </c>
      <c r="IG4" s="878">
        <f>HU28</f>
        <v>5.1425298865705535</v>
      </c>
      <c r="IH4" s="879">
        <f>IG4*ID4/100</f>
        <v>113050216.11371605</v>
      </c>
      <c r="II4" s="880">
        <v>1.4999999999999999E-2</v>
      </c>
      <c r="IJ4" s="940">
        <v>317261869.99999994</v>
      </c>
      <c r="IK4" s="877">
        <f>IJ4/ID4</f>
        <v>0.14431893227900808</v>
      </c>
      <c r="IL4" s="877">
        <f>SUM(HT8,HT15,HT17,HT23:HT24,HT27)/HT28</f>
        <v>1.5901810673445E-2</v>
      </c>
      <c r="IN4" s="152"/>
      <c r="IP4" s="730">
        <v>1</v>
      </c>
      <c r="IQ4" s="867">
        <v>1</v>
      </c>
      <c r="IR4" s="732" t="s">
        <v>398</v>
      </c>
      <c r="IS4" s="913">
        <f>HC4</f>
        <v>39338147.659632035</v>
      </c>
      <c r="IT4" s="915">
        <f>$M4</f>
        <v>1109065007.9612298</v>
      </c>
      <c r="IU4" s="918">
        <f>HB4</f>
        <v>3.5469650000000001</v>
      </c>
      <c r="IV4" s="904">
        <f>IT4*$IK$4/(1-$IL$4)</f>
        <v>162645434.68625528</v>
      </c>
      <c r="IW4" s="904">
        <f>IT4-IV4</f>
        <v>946419573.27497458</v>
      </c>
      <c r="IX4" s="913">
        <f>IV4*$II$4</f>
        <v>2439681.520293829</v>
      </c>
      <c r="IY4" s="881">
        <f>IS4-IX4</f>
        <v>36898466.139338203</v>
      </c>
      <c r="IZ4" s="928">
        <f>100*IY4/IT4</f>
        <v>3.3269885781689079</v>
      </c>
      <c r="JA4" s="928">
        <f>IZ4+1.5</f>
        <v>4.8269885781689084</v>
      </c>
      <c r="JB4" s="913">
        <f>(IV4*JA4+IW4*IZ4)/100</f>
        <v>39338147.659632042</v>
      </c>
      <c r="JC4" s="852">
        <v>0.22223277175728606</v>
      </c>
      <c r="JE4" s="152"/>
      <c r="JG4" s="730">
        <v>1</v>
      </c>
      <c r="JH4" s="867">
        <v>1</v>
      </c>
      <c r="JI4" s="732" t="s">
        <v>398</v>
      </c>
      <c r="JJ4" s="784">
        <f>$M4</f>
        <v>1109065007.9612298</v>
      </c>
      <c r="JK4" s="917">
        <f>IZ4</f>
        <v>3.3269885781689079</v>
      </c>
      <c r="JL4" s="868">
        <v>4.1070000000000002</v>
      </c>
      <c r="JM4" s="765"/>
      <c r="JN4" s="868"/>
      <c r="JO4" s="766">
        <v>10</v>
      </c>
      <c r="JR4" s="152"/>
      <c r="JT4" s="936">
        <v>40.789676926540267</v>
      </c>
      <c r="JU4" s="936">
        <f t="shared" ref="JU4:JU27" si="64">JT4-JK5</f>
        <v>-0.23640465162863933</v>
      </c>
      <c r="JV4" s="13">
        <v>986723</v>
      </c>
      <c r="JW4" s="13">
        <f t="shared" ref="JW4:JW27" si="65">JJ5-JV4</f>
        <v>14921.558801561827</v>
      </c>
      <c r="JX4" s="935" t="s">
        <v>454</v>
      </c>
      <c r="JY4" s="912">
        <f>-SUMPRODUCT(JU3:JU26,JJ4:JJ27)/100</f>
        <v>531069.82603893091</v>
      </c>
    </row>
    <row r="5" spans="1:294" x14ac:dyDescent="0.3">
      <c r="B5" s="338">
        <v>2</v>
      </c>
      <c r="C5" s="767" t="s">
        <v>58</v>
      </c>
      <c r="D5" s="906">
        <f>'ABDA 8 month Phase I'!LL27</f>
        <v>2035083.754130634</v>
      </c>
      <c r="E5" s="768">
        <v>1.7895125694862252E-2</v>
      </c>
      <c r="F5" s="769">
        <v>9.2573719777447133E-2</v>
      </c>
      <c r="H5" s="225"/>
      <c r="J5" s="338">
        <v>2</v>
      </c>
      <c r="K5" s="759">
        <v>2</v>
      </c>
      <c r="L5" s="518" t="s">
        <v>403</v>
      </c>
      <c r="M5" s="904">
        <v>1001644.5588015618</v>
      </c>
      <c r="N5" s="943">
        <f t="shared" ref="N5:N27" si="66">M5/$M$28</f>
        <v>4.5563708380499539E-4</v>
      </c>
      <c r="O5" s="455">
        <v>109.75779727095517</v>
      </c>
      <c r="P5" s="948">
        <f t="shared" ref="P5:P27" si="67">IFERROR(M5/O5,0)</f>
        <v>9125.9535423149719</v>
      </c>
      <c r="Q5" s="659">
        <f t="shared" ref="Q5:Q27" si="68">P5/$P$28</f>
        <v>5.2154170934077563E-3</v>
      </c>
      <c r="R5" s="322" t="s">
        <v>397</v>
      </c>
      <c r="T5" s="225"/>
      <c r="V5" s="734">
        <f>+V4+1</f>
        <v>2</v>
      </c>
      <c r="W5" s="735">
        <f t="shared" si="0"/>
        <v>2</v>
      </c>
      <c r="X5" s="518" t="s">
        <v>403</v>
      </c>
      <c r="Y5" s="924">
        <f t="shared" ref="Y5:Y27" si="69">SUM(FU5:FY5)</f>
        <v>311398.4864086585</v>
      </c>
      <c r="Z5" s="943">
        <f t="shared" ref="Z5:Z27" si="70">SUM(FU5:FY5)/SUM($FU$28:$FY$28)</f>
        <v>3.7259254556828002E-3</v>
      </c>
      <c r="AB5" s="225"/>
      <c r="AD5" s="734">
        <v>2</v>
      </c>
      <c r="AE5" s="146">
        <v>2</v>
      </c>
      <c r="AF5" s="347" t="s">
        <v>403</v>
      </c>
      <c r="AG5" s="369">
        <v>28.35</v>
      </c>
      <c r="AI5" s="225"/>
      <c r="AK5" s="734">
        <v>2</v>
      </c>
      <c r="AL5" s="777" t="s">
        <v>399</v>
      </c>
      <c r="AM5" s="778">
        <v>1968927.1041759744</v>
      </c>
      <c r="AN5" s="52"/>
      <c r="AO5" s="225"/>
      <c r="AP5" s="52"/>
      <c r="AQ5" s="734">
        <f t="shared" ref="AQ5:AQ27" si="71">+AQ4+1</f>
        <v>2</v>
      </c>
      <c r="AR5" s="787">
        <f t="shared" si="1"/>
        <v>2</v>
      </c>
      <c r="AS5" s="518" t="s">
        <v>403</v>
      </c>
      <c r="AT5" s="518">
        <f t="shared" si="2"/>
        <v>28.35</v>
      </c>
      <c r="AU5" s="788">
        <f t="shared" ref="AU5:AU27" si="72">$M5</f>
        <v>1001644.5588015618</v>
      </c>
      <c r="AV5" s="788">
        <f>AU5*AT5/3600</f>
        <v>7887.9509005623004</v>
      </c>
      <c r="AW5" s="789">
        <f t="shared" si="3"/>
        <v>8212.9088649865189</v>
      </c>
      <c r="AX5" s="790">
        <f t="shared" si="4"/>
        <v>18.28923031912322</v>
      </c>
      <c r="AY5" s="358">
        <f>AW5*AX5</f>
        <v>150207.78182170732</v>
      </c>
      <c r="AZ5" s="35">
        <f t="shared" ref="AZ5:AZ28" si="73">AY5/$AY$28</f>
        <v>4.1712610119325607E-3</v>
      </c>
      <c r="BA5" s="55">
        <f t="shared" si="5"/>
        <v>14.996116000000001</v>
      </c>
      <c r="BC5" s="225"/>
      <c r="BE5" s="338">
        <v>2</v>
      </c>
      <c r="BF5" s="565" t="s">
        <v>333</v>
      </c>
      <c r="BG5" s="697">
        <v>0.5</v>
      </c>
      <c r="BH5" s="804">
        <f>BG5*$BH$6</f>
        <v>7855598.930964387</v>
      </c>
      <c r="BJ5" s="225"/>
      <c r="BL5" s="338">
        <f>+BL4+1</f>
        <v>2</v>
      </c>
      <c r="BM5" s="322">
        <f t="shared" si="6"/>
        <v>2</v>
      </c>
      <c r="BN5" s="518" t="s">
        <v>403</v>
      </c>
      <c r="BO5" s="659">
        <f t="shared" si="7"/>
        <v>4.1712610119325607E-3</v>
      </c>
      <c r="BP5" s="358">
        <f t="shared" ref="BP5:BP27" si="74">BO5*$BP$28</f>
        <v>32767.753546110853</v>
      </c>
      <c r="BQ5" s="659">
        <f t="shared" si="8"/>
        <v>4.5563708380499539E-4</v>
      </c>
      <c r="BR5" s="358">
        <f t="shared" ref="BR5:BR27" si="75">BQ5*$BR$28</f>
        <v>3579.3021884462528</v>
      </c>
      <c r="BS5" s="809">
        <f t="shared" si="9"/>
        <v>36347.055734557107</v>
      </c>
      <c r="BT5" s="810">
        <f t="shared" si="10"/>
        <v>3.6287379999999998</v>
      </c>
      <c r="BV5" s="225"/>
      <c r="BX5" s="338">
        <f>+BX4+1</f>
        <v>2</v>
      </c>
      <c r="BY5" s="518" t="s">
        <v>400</v>
      </c>
      <c r="BZ5" s="822">
        <v>0.15827477051315791</v>
      </c>
      <c r="CA5" s="823">
        <f>BZ5*$CA$9</f>
        <v>3601600.6575882137</v>
      </c>
      <c r="CB5" s="824">
        <v>1</v>
      </c>
      <c r="CC5" s="824"/>
      <c r="CD5" s="823">
        <f>CB5*$CA5</f>
        <v>3601600.6575882137</v>
      </c>
      <c r="CE5" s="823">
        <f t="shared" si="11"/>
        <v>0</v>
      </c>
      <c r="CG5" s="225"/>
      <c r="CI5" s="734">
        <f>+CI4+1</f>
        <v>2</v>
      </c>
      <c r="CJ5" s="146">
        <f t="shared" si="12"/>
        <v>2</v>
      </c>
      <c r="CK5" s="518" t="s">
        <v>403</v>
      </c>
      <c r="CL5" s="344">
        <f t="shared" si="13"/>
        <v>4.5563708380499539E-4</v>
      </c>
      <c r="CM5" s="20">
        <f t="shared" si="14"/>
        <v>2439.5903563846405</v>
      </c>
      <c r="CN5" s="344">
        <f t="shared" si="15"/>
        <v>5.2154170934077563E-3</v>
      </c>
      <c r="CO5" s="20">
        <f t="shared" si="16"/>
        <v>90754.140076957512</v>
      </c>
      <c r="CP5" s="20">
        <f t="shared" si="17"/>
        <v>93193.730433342149</v>
      </c>
      <c r="CQ5" s="344">
        <f t="shared" si="18"/>
        <v>4.0954613517534483E-3</v>
      </c>
      <c r="CR5" s="342">
        <f t="shared" si="19"/>
        <v>9.3040719999999997</v>
      </c>
      <c r="CT5" s="225"/>
      <c r="CV5" s="338">
        <v>2</v>
      </c>
      <c r="CW5" s="104" t="s">
        <v>50</v>
      </c>
      <c r="CX5" s="344">
        <v>1</v>
      </c>
      <c r="CY5" s="344">
        <v>0</v>
      </c>
      <c r="CZ5" s="833">
        <v>0</v>
      </c>
      <c r="DA5" s="906">
        <f>DD5</f>
        <v>315108.8786993344</v>
      </c>
      <c r="DB5" s="906">
        <v>0</v>
      </c>
      <c r="DC5" s="906">
        <v>0</v>
      </c>
      <c r="DD5" s="906">
        <f t="shared" ref="DD5:DD6" si="76">$DD$7*DD12</f>
        <v>315108.8786993344</v>
      </c>
      <c r="DF5" s="225"/>
      <c r="DH5" s="734">
        <v>2</v>
      </c>
      <c r="DI5" s="745">
        <f t="shared" si="20"/>
        <v>2</v>
      </c>
      <c r="DJ5" s="518" t="s">
        <v>403</v>
      </c>
      <c r="DK5" s="344">
        <f t="shared" si="21"/>
        <v>4.0954613517534483E-3</v>
      </c>
      <c r="DL5" s="20">
        <f t="shared" ref="DL5:DL27" si="77">DK5*$DL$28</f>
        <v>1290.5162343074894</v>
      </c>
      <c r="DM5" s="344">
        <f t="shared" si="22"/>
        <v>5.2154170934077563E-3</v>
      </c>
      <c r="DN5" s="20">
        <f t="shared" si="23"/>
        <v>10170.761396184746</v>
      </c>
      <c r="DO5" s="344">
        <f t="shared" si="24"/>
        <v>4.5563708380499539E-4</v>
      </c>
      <c r="DP5" s="20">
        <f t="shared" si="25"/>
        <v>1479.3987921557091</v>
      </c>
      <c r="DQ5" s="20">
        <f t="shared" ref="DQ5:DQ27" si="78">DL5+DN5+DP5</f>
        <v>12940.676422647944</v>
      </c>
      <c r="DR5" s="344">
        <f t="shared" si="26"/>
        <v>2.3476758052475718E-3</v>
      </c>
      <c r="DS5" s="342">
        <f t="shared" si="27"/>
        <v>1.2919430000000001</v>
      </c>
      <c r="DU5" s="225"/>
      <c r="DW5" s="734">
        <f>+DW4+1</f>
        <v>2</v>
      </c>
      <c r="DX5" s="745">
        <f t="shared" si="28"/>
        <v>2</v>
      </c>
      <c r="DY5" s="518" t="s">
        <v>403</v>
      </c>
      <c r="DZ5" s="344">
        <f t="shared" si="29"/>
        <v>5.2154170934077563E-3</v>
      </c>
      <c r="EA5" s="20">
        <f t="shared" si="30"/>
        <v>18709.241996403973</v>
      </c>
      <c r="EB5" s="342">
        <f t="shared" si="31"/>
        <v>1.8678520000000001</v>
      </c>
      <c r="ED5" s="225"/>
      <c r="EF5" s="338">
        <v>2</v>
      </c>
      <c r="EG5" s="518" t="s">
        <v>50</v>
      </c>
      <c r="EH5" s="20">
        <v>871415.31349090894</v>
      </c>
      <c r="EI5" s="768">
        <f>EH5/$EH$7</f>
        <v>9.0122229034200738E-2</v>
      </c>
      <c r="EJ5" s="20">
        <f>EI5*$EJ$7</f>
        <v>962545.03538641089</v>
      </c>
      <c r="EL5" s="225"/>
      <c r="EN5" s="734">
        <f>+EN4+1</f>
        <v>2</v>
      </c>
      <c r="EO5" s="745">
        <f t="shared" si="32"/>
        <v>2</v>
      </c>
      <c r="EP5" s="518" t="s">
        <v>403</v>
      </c>
      <c r="EQ5" s="344">
        <f t="shared" si="33"/>
        <v>3.7259254556828002E-3</v>
      </c>
      <c r="ER5" s="20">
        <f t="shared" si="34"/>
        <v>26599.679477286034</v>
      </c>
      <c r="ES5" s="344">
        <f t="shared" si="35"/>
        <v>4.0954613517534483E-3</v>
      </c>
      <c r="ET5" s="20">
        <f t="shared" si="36"/>
        <v>3942.0659917472012</v>
      </c>
      <c r="EU5" s="344">
        <f t="shared" si="37"/>
        <v>4.5563708380499539E-4</v>
      </c>
      <c r="EV5" s="20">
        <f t="shared" si="38"/>
        <v>1175.0036583425178</v>
      </c>
      <c r="EW5" s="20">
        <f t="shared" si="39"/>
        <v>31716.749127375751</v>
      </c>
      <c r="EX5" s="344">
        <f t="shared" si="40"/>
        <v>2.9696107963718852E-3</v>
      </c>
      <c r="EY5" s="342">
        <f t="shared" si="41"/>
        <v>3.1664669999999999</v>
      </c>
      <c r="FA5" s="225"/>
      <c r="FC5" s="456">
        <v>2</v>
      </c>
      <c r="FD5" s="851" t="s">
        <v>401</v>
      </c>
      <c r="FE5" s="458">
        <f>D12</f>
        <v>-204693.58767693696</v>
      </c>
      <c r="FG5" s="225"/>
      <c r="FI5" s="734">
        <f>+FI4+1</f>
        <v>2</v>
      </c>
      <c r="FJ5" s="735">
        <f t="shared" si="42"/>
        <v>2</v>
      </c>
      <c r="FK5" s="518" t="s">
        <v>403</v>
      </c>
      <c r="FL5" s="344">
        <f t="shared" si="43"/>
        <v>3.7259254556828002E-3</v>
      </c>
      <c r="FM5" s="20">
        <f t="shared" si="44"/>
        <v>70023.659042305488</v>
      </c>
      <c r="FN5" s="342">
        <f t="shared" si="45"/>
        <v>6.990869</v>
      </c>
      <c r="FP5" s="225"/>
      <c r="FR5" s="734">
        <f>+FR4+1</f>
        <v>2</v>
      </c>
      <c r="FS5" s="735">
        <v>2</v>
      </c>
      <c r="FT5" s="518" t="s">
        <v>403</v>
      </c>
      <c r="FU5" s="20">
        <f t="shared" si="46"/>
        <v>150207.78182170732</v>
      </c>
      <c r="FV5" s="20">
        <f t="shared" si="47"/>
        <v>36347.055734557107</v>
      </c>
      <c r="FW5" s="20">
        <f t="shared" si="48"/>
        <v>93193.730433342149</v>
      </c>
      <c r="FX5" s="20">
        <f t="shared" si="49"/>
        <v>12940.676422647944</v>
      </c>
      <c r="FY5" s="20">
        <f t="shared" si="50"/>
        <v>18709.241996403973</v>
      </c>
      <c r="FZ5" s="20">
        <f t="shared" si="51"/>
        <v>31716.749127375751</v>
      </c>
      <c r="GA5" s="20">
        <f t="shared" si="52"/>
        <v>70023.659042305488</v>
      </c>
      <c r="GB5" s="20">
        <f t="shared" si="53"/>
        <v>413138.89457833976</v>
      </c>
      <c r="GC5" s="414">
        <f t="shared" si="54"/>
        <v>41.246057999999998</v>
      </c>
      <c r="GE5" s="225"/>
      <c r="GG5" s="734">
        <f t="shared" ref="GG5:GG27" si="79">+GG4+1</f>
        <v>2</v>
      </c>
      <c r="GH5" s="735">
        <f t="shared" si="55"/>
        <v>2</v>
      </c>
      <c r="GI5" s="518" t="s">
        <v>403</v>
      </c>
      <c r="GJ5" s="342">
        <f t="shared" si="56"/>
        <v>14.996116000000001</v>
      </c>
      <c r="GK5" s="342">
        <f t="shared" si="57"/>
        <v>3.6287379999999998</v>
      </c>
      <c r="GL5" s="342">
        <f t="shared" si="58"/>
        <v>9.3040719999999997</v>
      </c>
      <c r="GM5" s="342">
        <f t="shared" si="59"/>
        <v>1.2919430000000001</v>
      </c>
      <c r="GN5" s="342">
        <f t="shared" si="60"/>
        <v>1.8678520000000001</v>
      </c>
      <c r="GO5" s="342">
        <f t="shared" si="61"/>
        <v>3.1664669999999999</v>
      </c>
      <c r="GP5" s="342">
        <f t="shared" si="62"/>
        <v>6.990869</v>
      </c>
      <c r="GQ5" s="342">
        <f t="shared" si="63"/>
        <v>41.246057999999998</v>
      </c>
      <c r="GR5" s="788">
        <f t="shared" ref="GR5:GR27" si="80">$M5</f>
        <v>1001644.5588015618</v>
      </c>
      <c r="GS5" s="716"/>
      <c r="GT5" s="225"/>
      <c r="GV5" s="718">
        <f t="shared" ref="GV5:GV27" si="81">+GV4+1</f>
        <v>2</v>
      </c>
      <c r="GW5" s="735">
        <v>2</v>
      </c>
      <c r="GX5" s="518" t="s">
        <v>403</v>
      </c>
      <c r="GY5" s="322" t="s">
        <v>397</v>
      </c>
      <c r="GZ5" s="924">
        <f t="shared" ref="GZ5:GZ27" si="82">GB5</f>
        <v>413138.89457833976</v>
      </c>
      <c r="HA5" s="788">
        <f t="shared" ref="HA5:HA27" si="83">$M5</f>
        <v>1001644.5588015618</v>
      </c>
      <c r="HB5" s="922">
        <f t="shared" ref="HB5:HB7" si="84">ROUND(IF(HA5&lt;&gt;0,GZ5/HA5*100,0),6)</f>
        <v>41.246057999999998</v>
      </c>
      <c r="HC5" s="942">
        <f t="shared" ref="HC5:HC27" si="85">ROUND(HB5,10)*HA5/100</f>
        <v>413138.89567713626</v>
      </c>
      <c r="HD5" s="858">
        <v>-2.1704175742343068E-3</v>
      </c>
      <c r="HE5" s="54"/>
      <c r="HF5" s="225"/>
      <c r="HH5" s="456">
        <v>2</v>
      </c>
      <c r="HI5" s="565" t="s">
        <v>402</v>
      </c>
      <c r="HJ5" s="862">
        <v>2070180.8900786787</v>
      </c>
      <c r="HK5" s="926">
        <f>HJ5/$HJ$6</f>
        <v>1.8417568795969938E-2</v>
      </c>
      <c r="HL5" s="927">
        <f>SUMIF($GY$4:$GY$27,$HI5,HC$4:HC$27)</f>
        <v>2256505.4505794388</v>
      </c>
      <c r="HM5" s="859">
        <v>0.13414628756436286</v>
      </c>
      <c r="HN5" s="54"/>
      <c r="HO5" s="225"/>
      <c r="HQ5" s="734">
        <v>2</v>
      </c>
      <c r="HR5" s="869">
        <v>2</v>
      </c>
      <c r="HS5" s="518" t="s">
        <v>403</v>
      </c>
      <c r="HT5" s="788">
        <f t="shared" ref="HT5:HT27" si="86">$M5</f>
        <v>1001644.5588015618</v>
      </c>
      <c r="HU5" s="917">
        <f t="shared" ref="HU5:HU27" si="87">HB5</f>
        <v>41.246057999999998</v>
      </c>
      <c r="HV5" s="870"/>
      <c r="HW5" s="768"/>
      <c r="HX5" s="870">
        <v>-8.3115710000000007</v>
      </c>
      <c r="HY5" s="769">
        <v>25</v>
      </c>
      <c r="IA5" s="225"/>
      <c r="IN5" s="225"/>
      <c r="IP5" s="734">
        <v>2</v>
      </c>
      <c r="IQ5" s="869">
        <v>2</v>
      </c>
      <c r="IR5" s="518" t="s">
        <v>403</v>
      </c>
      <c r="IS5" s="913">
        <f>HC5</f>
        <v>413138.89567713626</v>
      </c>
      <c r="IT5" s="915">
        <f t="shared" ref="IT5:IT27" si="88">$M5</f>
        <v>1001644.5588015618</v>
      </c>
      <c r="IU5" s="919">
        <f t="shared" ref="IU5:IU28" si="89">HB5</f>
        <v>41.246057999999998</v>
      </c>
      <c r="IV5" s="904">
        <f t="shared" ref="IV5:IV7" si="90">IT5*$IK$4/(1-$IL$4)</f>
        <v>146892.12399450026</v>
      </c>
      <c r="IW5" s="904">
        <f t="shared" ref="IW5:IW27" si="91">IT5-IV5</f>
        <v>854752.43480706157</v>
      </c>
      <c r="IX5" s="913">
        <f t="shared" ref="IX5:IX7" si="92">IV5*$II$4</f>
        <v>2203.3818599175038</v>
      </c>
      <c r="IY5" s="882">
        <f t="shared" ref="IY5:IY27" si="93">IS5-IX5</f>
        <v>410935.51381721877</v>
      </c>
      <c r="IZ5" s="928">
        <f t="shared" ref="IZ5:IZ7" si="94">100*IY5/IT5</f>
        <v>41.026081578168906</v>
      </c>
      <c r="JA5" s="928">
        <f t="shared" ref="JA5:JA7" si="95">IZ5+1.5</f>
        <v>42.526081578168906</v>
      </c>
      <c r="JB5" s="913">
        <f>(IV5*JA5+IW5*IZ5)/100</f>
        <v>413138.89567713632</v>
      </c>
      <c r="JC5" s="883">
        <v>0.22223287213186182</v>
      </c>
      <c r="JE5" s="225"/>
      <c r="JG5" s="734">
        <v>2</v>
      </c>
      <c r="JH5" s="869">
        <v>2</v>
      </c>
      <c r="JI5" s="518" t="s">
        <v>403</v>
      </c>
      <c r="JJ5" s="788">
        <f t="shared" ref="JJ5:JJ27" si="96">$M5</f>
        <v>1001644.5588015618</v>
      </c>
      <c r="JK5" s="917">
        <f t="shared" ref="JK5:JK28" si="97">IZ5</f>
        <v>41.026081578168906</v>
      </c>
      <c r="JL5" s="870">
        <v>49.463999999999999</v>
      </c>
      <c r="JM5" s="768"/>
      <c r="JN5" s="870"/>
      <c r="JO5" s="769">
        <v>25</v>
      </c>
      <c r="JR5" s="225"/>
      <c r="JT5" s="936">
        <v>8.3490219265402583</v>
      </c>
      <c r="JU5" s="936">
        <f t="shared" si="64"/>
        <v>-4.2472651628649771E-2</v>
      </c>
      <c r="JV5" s="13">
        <v>2563713</v>
      </c>
      <c r="JW5" s="13">
        <f t="shared" si="65"/>
        <v>-457321.30558367819</v>
      </c>
      <c r="JX5" s="935" t="s">
        <v>450</v>
      </c>
      <c r="JY5" s="951">
        <f>SUM(JY3:JY4)</f>
        <v>1175513.4450544324</v>
      </c>
    </row>
    <row r="6" spans="1:294" ht="17.25" thickBot="1" x14ac:dyDescent="0.35">
      <c r="B6" s="756">
        <v>3</v>
      </c>
      <c r="C6" s="764" t="s">
        <v>49</v>
      </c>
      <c r="D6" s="906">
        <f>'ABDA 8 month Phase I'!LN27</f>
        <v>15711197.861928774</v>
      </c>
      <c r="E6" s="765">
        <v>0.13977622384398092</v>
      </c>
      <c r="F6" s="766">
        <v>0.72307985975183253</v>
      </c>
      <c r="J6" s="756">
        <v>3</v>
      </c>
      <c r="K6" s="757">
        <v>3</v>
      </c>
      <c r="L6" s="732" t="s">
        <v>407</v>
      </c>
      <c r="M6" s="904">
        <v>2106391.6944163218</v>
      </c>
      <c r="N6" s="944">
        <f t="shared" si="66"/>
        <v>9.5817439486041705E-4</v>
      </c>
      <c r="O6" s="753">
        <v>812.53603294440632</v>
      </c>
      <c r="P6" s="948">
        <f t="shared" si="67"/>
        <v>2592.367118518227</v>
      </c>
      <c r="Q6" s="733">
        <f t="shared" si="68"/>
        <v>1.4815192428514704E-3</v>
      </c>
      <c r="R6" s="758" t="s">
        <v>397</v>
      </c>
      <c r="V6" s="730">
        <f t="shared" ref="V6:V27" si="98">+V5+1</f>
        <v>3</v>
      </c>
      <c r="W6" s="731">
        <f t="shared" si="0"/>
        <v>3</v>
      </c>
      <c r="X6" s="732" t="s">
        <v>407</v>
      </c>
      <c r="Y6" s="924">
        <f t="shared" si="69"/>
        <v>135552.48545256129</v>
      </c>
      <c r="Z6" s="944">
        <f t="shared" si="70"/>
        <v>1.6219040174330383E-3</v>
      </c>
      <c r="AD6" s="730">
        <v>3</v>
      </c>
      <c r="AE6" s="746">
        <v>3</v>
      </c>
      <c r="AF6" s="747" t="s">
        <v>407</v>
      </c>
      <c r="AG6" s="748">
        <v>6.29</v>
      </c>
      <c r="AK6" s="730">
        <v>3</v>
      </c>
      <c r="AL6" s="779" t="s">
        <v>404</v>
      </c>
      <c r="AM6" s="780">
        <f>AM4/AM5</f>
        <v>18.28923031912322</v>
      </c>
      <c r="AN6" s="57"/>
      <c r="AP6" s="57"/>
      <c r="AQ6" s="730">
        <f t="shared" si="71"/>
        <v>3</v>
      </c>
      <c r="AR6" s="783">
        <f t="shared" si="1"/>
        <v>3</v>
      </c>
      <c r="AS6" s="732" t="s">
        <v>407</v>
      </c>
      <c r="AT6" s="732">
        <f t="shared" si="2"/>
        <v>6.29</v>
      </c>
      <c r="AU6" s="784">
        <f t="shared" si="72"/>
        <v>2106391.6944163218</v>
      </c>
      <c r="AV6" s="784">
        <f t="shared" ref="AV6:AV27" si="99">AU6*AT6/3600</f>
        <v>3680.3343771885179</v>
      </c>
      <c r="AW6" s="785">
        <f t="shared" si="3"/>
        <v>3831.9522032485665</v>
      </c>
      <c r="AX6" s="786">
        <f t="shared" si="4"/>
        <v>18.28923031912322</v>
      </c>
      <c r="AY6" s="379">
        <f>AW6*AX6</f>
        <v>70083.456417084701</v>
      </c>
      <c r="AZ6" s="51">
        <f t="shared" si="73"/>
        <v>1.9462133438669367E-3</v>
      </c>
      <c r="BA6" s="53">
        <f t="shared" si="5"/>
        <v>3.3271809999999999</v>
      </c>
      <c r="BE6" s="805">
        <v>3</v>
      </c>
      <c r="BF6" s="806" t="s">
        <v>72</v>
      </c>
      <c r="BG6" s="742">
        <f>SUM(BG4:BG5)</f>
        <v>1</v>
      </c>
      <c r="BH6" s="741">
        <f>D6</f>
        <v>15711197.861928774</v>
      </c>
      <c r="BL6" s="756">
        <f t="shared" ref="BL6:BL27" si="100">+BL5+1</f>
        <v>3</v>
      </c>
      <c r="BM6" s="758">
        <f t="shared" si="6"/>
        <v>3</v>
      </c>
      <c r="BN6" s="732" t="s">
        <v>407</v>
      </c>
      <c r="BO6" s="733">
        <f t="shared" si="7"/>
        <v>1.9462133438669367E-3</v>
      </c>
      <c r="BP6" s="379">
        <f t="shared" si="74"/>
        <v>15288.671463509732</v>
      </c>
      <c r="BQ6" s="733">
        <f t="shared" si="8"/>
        <v>9.5817439486041705E-4</v>
      </c>
      <c r="BR6" s="379">
        <f t="shared" si="75"/>
        <v>7527.0337519429404</v>
      </c>
      <c r="BS6" s="807">
        <f t="shared" si="9"/>
        <v>22815.705215452672</v>
      </c>
      <c r="BT6" s="808">
        <f t="shared" si="10"/>
        <v>1.0831649999999999</v>
      </c>
      <c r="BX6" s="756">
        <f>+BX5+1</f>
        <v>3</v>
      </c>
      <c r="BY6" s="732" t="s">
        <v>405</v>
      </c>
      <c r="BZ6" s="765">
        <v>0.11835749256056489</v>
      </c>
      <c r="CA6" s="821">
        <f>BZ6*$CA$9</f>
        <v>2693268.3058364303</v>
      </c>
      <c r="CB6" s="766"/>
      <c r="CC6" s="766">
        <v>1</v>
      </c>
      <c r="CD6" s="821">
        <f t="shared" si="11"/>
        <v>0</v>
      </c>
      <c r="CE6" s="821">
        <f t="shared" si="11"/>
        <v>2693268.3058364303</v>
      </c>
      <c r="CI6" s="730">
        <f t="shared" ref="CI6:CI27" si="101">+CI5+1</f>
        <v>3</v>
      </c>
      <c r="CJ6" s="746">
        <f t="shared" si="12"/>
        <v>3</v>
      </c>
      <c r="CK6" s="732" t="s">
        <v>407</v>
      </c>
      <c r="CL6" s="733">
        <f t="shared" si="13"/>
        <v>9.5817439486041705E-4</v>
      </c>
      <c r="CM6" s="379">
        <f t="shared" si="14"/>
        <v>5130.2957913684504</v>
      </c>
      <c r="CN6" s="733">
        <f t="shared" si="15"/>
        <v>1.4815192428514704E-3</v>
      </c>
      <c r="CO6" s="379">
        <f t="shared" si="16"/>
        <v>25780.105883074841</v>
      </c>
      <c r="CP6" s="379">
        <f t="shared" si="17"/>
        <v>30910.401674443292</v>
      </c>
      <c r="CQ6" s="733">
        <f t="shared" si="18"/>
        <v>1.3583784535313153E-3</v>
      </c>
      <c r="CR6" s="808">
        <f t="shared" si="19"/>
        <v>1.467457</v>
      </c>
      <c r="CV6" s="842">
        <v>3</v>
      </c>
      <c r="CW6" s="834" t="s">
        <v>395</v>
      </c>
      <c r="CX6" s="835">
        <v>0</v>
      </c>
      <c r="CY6" s="835">
        <v>0</v>
      </c>
      <c r="CZ6" s="836">
        <v>1</v>
      </c>
      <c r="DA6" s="910">
        <v>0</v>
      </c>
      <c r="DB6" s="910">
        <v>0</v>
      </c>
      <c r="DC6" s="910">
        <f>DD6</f>
        <v>1296745.8409774855</v>
      </c>
      <c r="DD6" s="910">
        <f t="shared" si="76"/>
        <v>1296745.8409774855</v>
      </c>
      <c r="DH6" s="730">
        <v>3</v>
      </c>
      <c r="DI6" s="840">
        <f t="shared" si="20"/>
        <v>3</v>
      </c>
      <c r="DJ6" s="732" t="s">
        <v>407</v>
      </c>
      <c r="DK6" s="733">
        <f t="shared" si="21"/>
        <v>1.3583784535313153E-3</v>
      </c>
      <c r="DL6" s="379">
        <f t="shared" si="77"/>
        <v>428.03711134158868</v>
      </c>
      <c r="DM6" s="733">
        <f t="shared" si="22"/>
        <v>1.4815192428514704E-3</v>
      </c>
      <c r="DN6" s="379">
        <f t="shared" si="23"/>
        <v>2889.1608193608599</v>
      </c>
      <c r="DO6" s="733">
        <f t="shared" si="24"/>
        <v>9.5817439486041705E-4</v>
      </c>
      <c r="DP6" s="379">
        <f t="shared" si="25"/>
        <v>3111.0769794973558</v>
      </c>
      <c r="DQ6" s="379">
        <f t="shared" si="78"/>
        <v>6428.2749101998043</v>
      </c>
      <c r="DR6" s="733">
        <f t="shared" si="26"/>
        <v>1.1662068491059632E-3</v>
      </c>
      <c r="DS6" s="808">
        <f t="shared" si="27"/>
        <v>0.30517899999999998</v>
      </c>
      <c r="DW6" s="730">
        <f t="shared" ref="DW6:DW27" si="102">+DW5+1</f>
        <v>3</v>
      </c>
      <c r="DX6" s="840">
        <f t="shared" si="28"/>
        <v>3</v>
      </c>
      <c r="DY6" s="732" t="s">
        <v>407</v>
      </c>
      <c r="DZ6" s="733">
        <f t="shared" si="29"/>
        <v>1.4815192428514704E-3</v>
      </c>
      <c r="EA6" s="379">
        <f t="shared" si="30"/>
        <v>5314.6472353808094</v>
      </c>
      <c r="EB6" s="808">
        <f t="shared" si="31"/>
        <v>0.25230999999999998</v>
      </c>
      <c r="EF6" s="842">
        <v>3</v>
      </c>
      <c r="EG6" s="825" t="s">
        <v>173</v>
      </c>
      <c r="EH6" s="837">
        <v>2334663.450411818</v>
      </c>
      <c r="EI6" s="826">
        <f>EH6/$EH$7</f>
        <v>0.24145211925746848</v>
      </c>
      <c r="EJ6" s="837">
        <f>EI6*$EJ$7</f>
        <v>2578814.8070173291</v>
      </c>
      <c r="EN6" s="730">
        <f t="shared" ref="EN6:EN27" si="103">+EN5+1</f>
        <v>3</v>
      </c>
      <c r="EO6" s="840">
        <f t="shared" si="32"/>
        <v>3</v>
      </c>
      <c r="EP6" s="732" t="s">
        <v>407</v>
      </c>
      <c r="EQ6" s="733">
        <f t="shared" si="33"/>
        <v>1.6219040174330383E-3</v>
      </c>
      <c r="ER6" s="379">
        <f t="shared" si="34"/>
        <v>11578.902347828986</v>
      </c>
      <c r="ES6" s="733">
        <f t="shared" si="35"/>
        <v>1.3583784535313153E-3</v>
      </c>
      <c r="ET6" s="379">
        <f t="shared" si="36"/>
        <v>1307.500436622438</v>
      </c>
      <c r="EU6" s="733">
        <f t="shared" si="37"/>
        <v>9.5817439486041705E-4</v>
      </c>
      <c r="EV6" s="379">
        <f t="shared" si="38"/>
        <v>2470.9543171709124</v>
      </c>
      <c r="EW6" s="379">
        <f t="shared" si="39"/>
        <v>15357.357101622336</v>
      </c>
      <c r="EX6" s="733">
        <f t="shared" si="40"/>
        <v>1.4378955822226011E-3</v>
      </c>
      <c r="EY6" s="808">
        <f t="shared" si="41"/>
        <v>0.72908399999999995</v>
      </c>
      <c r="FC6" s="813">
        <v>3</v>
      </c>
      <c r="FD6" s="59" t="s">
        <v>406</v>
      </c>
      <c r="FE6" s="60">
        <f>SUM(FE4:FE5)</f>
        <v>18793628.556230251</v>
      </c>
      <c r="FI6" s="730">
        <f t="shared" ref="FI6:FI27" si="104">+FI5+1</f>
        <v>3</v>
      </c>
      <c r="FJ6" s="731">
        <f t="shared" si="42"/>
        <v>3</v>
      </c>
      <c r="FK6" s="732" t="s">
        <v>407</v>
      </c>
      <c r="FL6" s="733">
        <f t="shared" si="43"/>
        <v>1.6219040174330383E-3</v>
      </c>
      <c r="FM6" s="379">
        <f t="shared" si="44"/>
        <v>30481.461657494114</v>
      </c>
      <c r="FN6" s="808">
        <f t="shared" si="45"/>
        <v>1.4470940000000001</v>
      </c>
      <c r="FR6" s="730">
        <f t="shared" ref="FR6:FR27" si="105">+FR5+1</f>
        <v>3</v>
      </c>
      <c r="FS6" s="731">
        <v>3</v>
      </c>
      <c r="FT6" s="732" t="s">
        <v>407</v>
      </c>
      <c r="FU6" s="379">
        <f t="shared" si="46"/>
        <v>70083.456417084701</v>
      </c>
      <c r="FV6" s="379">
        <f t="shared" si="47"/>
        <v>22815.705215452672</v>
      </c>
      <c r="FW6" s="379">
        <f t="shared" si="48"/>
        <v>30910.401674443292</v>
      </c>
      <c r="FX6" s="379">
        <f t="shared" si="49"/>
        <v>6428.2749101998043</v>
      </c>
      <c r="FY6" s="379">
        <f t="shared" si="50"/>
        <v>5314.6472353808094</v>
      </c>
      <c r="FZ6" s="379">
        <f t="shared" si="51"/>
        <v>15357.357101622336</v>
      </c>
      <c r="GA6" s="379">
        <f t="shared" si="52"/>
        <v>30481.461657494114</v>
      </c>
      <c r="GB6" s="379">
        <f t="shared" si="53"/>
        <v>181391.30421167772</v>
      </c>
      <c r="GC6" s="852">
        <f t="shared" si="54"/>
        <v>8.6114709999999999</v>
      </c>
      <c r="GG6" s="730">
        <f t="shared" si="79"/>
        <v>3</v>
      </c>
      <c r="GH6" s="731">
        <f t="shared" si="55"/>
        <v>3</v>
      </c>
      <c r="GI6" s="732" t="s">
        <v>407</v>
      </c>
      <c r="GJ6" s="808">
        <f t="shared" si="56"/>
        <v>3.3271809999999999</v>
      </c>
      <c r="GK6" s="808">
        <f t="shared" si="57"/>
        <v>1.0831649999999999</v>
      </c>
      <c r="GL6" s="808">
        <f t="shared" si="58"/>
        <v>1.467457</v>
      </c>
      <c r="GM6" s="808">
        <f t="shared" si="59"/>
        <v>0.30517899999999998</v>
      </c>
      <c r="GN6" s="808">
        <f t="shared" si="60"/>
        <v>0.25230999999999998</v>
      </c>
      <c r="GO6" s="808">
        <f t="shared" si="61"/>
        <v>0.72908399999999995</v>
      </c>
      <c r="GP6" s="808">
        <f t="shared" si="62"/>
        <v>1.4470940000000001</v>
      </c>
      <c r="GQ6" s="808">
        <f t="shared" si="63"/>
        <v>8.6114709999999999</v>
      </c>
      <c r="GR6" s="784">
        <f t="shared" si="80"/>
        <v>2106391.6944163218</v>
      </c>
      <c r="GS6" s="716"/>
      <c r="GV6" s="717">
        <f t="shared" si="81"/>
        <v>3</v>
      </c>
      <c r="GW6" s="731">
        <v>3</v>
      </c>
      <c r="GX6" s="732" t="s">
        <v>407</v>
      </c>
      <c r="GY6" s="758" t="s">
        <v>397</v>
      </c>
      <c r="GZ6" s="906">
        <f t="shared" si="82"/>
        <v>181391.30421167772</v>
      </c>
      <c r="HA6" s="784">
        <f t="shared" si="83"/>
        <v>2106391.6944163218</v>
      </c>
      <c r="HB6" s="922">
        <f t="shared" si="84"/>
        <v>8.6114709999999999</v>
      </c>
      <c r="HC6" s="942">
        <f t="shared" si="85"/>
        <v>181391.30991107016</v>
      </c>
      <c r="HD6" s="857">
        <v>5.2642390364781022E-3</v>
      </c>
      <c r="HE6" s="61"/>
      <c r="HH6" s="813">
        <v>3</v>
      </c>
      <c r="HI6" s="762" t="s">
        <v>89</v>
      </c>
      <c r="HJ6" s="863">
        <v>112402506.16203305</v>
      </c>
      <c r="HK6" s="864">
        <v>1</v>
      </c>
      <c r="HL6" s="863">
        <f>SUM(HL4:HL5)</f>
        <v>113050216.11371607</v>
      </c>
      <c r="HM6" s="865">
        <v>-2.9150733718854553</v>
      </c>
      <c r="HN6" s="61"/>
      <c r="HQ6" s="730">
        <v>3</v>
      </c>
      <c r="HR6" s="867">
        <v>3</v>
      </c>
      <c r="HS6" s="732" t="s">
        <v>407</v>
      </c>
      <c r="HT6" s="784">
        <f t="shared" si="86"/>
        <v>2106391.6944163218</v>
      </c>
      <c r="HU6" s="917">
        <f t="shared" si="87"/>
        <v>8.6114709999999999</v>
      </c>
      <c r="HV6" s="868"/>
      <c r="HW6" s="765"/>
      <c r="HX6" s="868">
        <v>-2.0161709999999999</v>
      </c>
      <c r="HY6" s="766">
        <v>10</v>
      </c>
      <c r="IP6" s="730">
        <v>3</v>
      </c>
      <c r="IQ6" s="867">
        <v>3</v>
      </c>
      <c r="IR6" s="732" t="s">
        <v>407</v>
      </c>
      <c r="IS6" s="913">
        <f t="shared" ref="IS6:IS27" si="106">HC6</f>
        <v>181391.30991107016</v>
      </c>
      <c r="IT6" s="915">
        <f t="shared" si="88"/>
        <v>2106391.6944163218</v>
      </c>
      <c r="IU6" s="918">
        <f t="shared" si="89"/>
        <v>8.6114709999999999</v>
      </c>
      <c r="IV6" s="904">
        <f>IT6*$IK$4/(1-$IL$4)</f>
        <v>308904.33860828902</v>
      </c>
      <c r="IW6" s="904">
        <f>IT6-IV6</f>
        <v>1797487.3558080327</v>
      </c>
      <c r="IX6" s="913">
        <f t="shared" si="92"/>
        <v>4633.5650791243352</v>
      </c>
      <c r="IY6" s="881">
        <f t="shared" si="93"/>
        <v>176757.74483194583</v>
      </c>
      <c r="IZ6" s="928">
        <f t="shared" si="94"/>
        <v>8.3914945781689081</v>
      </c>
      <c r="JA6" s="928">
        <f t="shared" si="95"/>
        <v>9.8914945781689081</v>
      </c>
      <c r="JB6" s="913">
        <f t="shared" ref="JB6:JB27" si="107">(IV6*JA6+IW6*IZ6)/100</f>
        <v>181391.30991107016</v>
      </c>
      <c r="JC6" s="852">
        <v>0.22223334610416501</v>
      </c>
      <c r="JG6" s="730">
        <v>3</v>
      </c>
      <c r="JH6" s="867">
        <v>3</v>
      </c>
      <c r="JI6" s="732" t="s">
        <v>407</v>
      </c>
      <c r="JJ6" s="784">
        <f t="shared" si="96"/>
        <v>2106391.6944163218</v>
      </c>
      <c r="JK6" s="917">
        <f t="shared" si="97"/>
        <v>8.3914945781689081</v>
      </c>
      <c r="JL6" s="868">
        <v>10.432</v>
      </c>
      <c r="JM6" s="765"/>
      <c r="JN6" s="868"/>
      <c r="JO6" s="766">
        <v>10</v>
      </c>
      <c r="JT6" s="936">
        <v>18.573936926540256</v>
      </c>
      <c r="JU6" s="936">
        <f t="shared" si="64"/>
        <v>-0.11474065162865088</v>
      </c>
      <c r="JV6" s="13">
        <v>369439</v>
      </c>
      <c r="JW6" s="13">
        <f t="shared" si="65"/>
        <v>-22348.812752620317</v>
      </c>
    </row>
    <row r="7" spans="1:294" ht="17.25" thickBot="1" x14ac:dyDescent="0.35">
      <c r="B7" s="338">
        <v>4</v>
      </c>
      <c r="C7" s="770" t="s">
        <v>50</v>
      </c>
      <c r="D7" s="906">
        <f>'ABDA 8 month Phase I'!LP27</f>
        <v>22755368.059679482</v>
      </c>
      <c r="E7" s="768">
        <v>0.20244537988215888</v>
      </c>
      <c r="F7" s="769">
        <v>1.047275229412356</v>
      </c>
      <c r="J7" s="338">
        <v>4</v>
      </c>
      <c r="K7" s="759">
        <v>4</v>
      </c>
      <c r="L7" s="518" t="s">
        <v>410</v>
      </c>
      <c r="M7" s="904">
        <v>347090.18724737968</v>
      </c>
      <c r="N7" s="943">
        <f t="shared" si="66"/>
        <v>1.5788750544798476E-4</v>
      </c>
      <c r="O7" s="455">
        <v>176.53560975609756</v>
      </c>
      <c r="P7" s="948">
        <f t="shared" si="67"/>
        <v>1966.1199671098718</v>
      </c>
      <c r="Q7" s="659">
        <f t="shared" si="68"/>
        <v>1.1236234807254963E-3</v>
      </c>
      <c r="R7" s="322" t="s">
        <v>397</v>
      </c>
      <c r="V7" s="734">
        <f t="shared" si="98"/>
        <v>4</v>
      </c>
      <c r="W7" s="735">
        <f t="shared" si="0"/>
        <v>4</v>
      </c>
      <c r="X7" s="518" t="s">
        <v>410</v>
      </c>
      <c r="Y7" s="924">
        <f t="shared" si="69"/>
        <v>49119.03592961267</v>
      </c>
      <c r="Z7" s="943">
        <f t="shared" si="70"/>
        <v>5.8771597909620791E-4</v>
      </c>
      <c r="AD7" s="734">
        <v>4</v>
      </c>
      <c r="AE7" s="146">
        <v>4</v>
      </c>
      <c r="AF7" s="347" t="s">
        <v>410</v>
      </c>
      <c r="AG7" s="369">
        <v>9.15</v>
      </c>
      <c r="AK7" s="749">
        <v>4</v>
      </c>
      <c r="AL7" s="781" t="s">
        <v>408</v>
      </c>
      <c r="AM7" s="909">
        <v>3.1019864894695965</v>
      </c>
      <c r="AQ7" s="734">
        <f t="shared" si="71"/>
        <v>4</v>
      </c>
      <c r="AR7" s="787">
        <f t="shared" si="1"/>
        <v>4</v>
      </c>
      <c r="AS7" s="518" t="s">
        <v>410</v>
      </c>
      <c r="AT7" s="518">
        <f t="shared" si="2"/>
        <v>9.15</v>
      </c>
      <c r="AU7" s="788">
        <f t="shared" si="72"/>
        <v>347090.18724737968</v>
      </c>
      <c r="AV7" s="788">
        <f t="shared" si="99"/>
        <v>882.18755925375672</v>
      </c>
      <c r="AW7" s="789">
        <f t="shared" si="3"/>
        <v>918.5308221758213</v>
      </c>
      <c r="AX7" s="790">
        <f t="shared" si="4"/>
        <v>18.28923031912322</v>
      </c>
      <c r="AY7" s="358">
        <f t="shared" ref="AY7:AY27" si="108">AW7*AX7</f>
        <v>16799.22176198721</v>
      </c>
      <c r="AZ7" s="35">
        <f t="shared" si="73"/>
        <v>4.6651337178896756E-4</v>
      </c>
      <c r="BA7" s="55">
        <f t="shared" si="5"/>
        <v>4.8400160000000003</v>
      </c>
      <c r="BL7" s="338">
        <f t="shared" si="100"/>
        <v>4</v>
      </c>
      <c r="BM7" s="322">
        <f t="shared" si="6"/>
        <v>4</v>
      </c>
      <c r="BN7" s="518" t="s">
        <v>410</v>
      </c>
      <c r="BO7" s="659">
        <f t="shared" si="7"/>
        <v>4.6651337178896756E-4</v>
      </c>
      <c r="BP7" s="358">
        <f t="shared" si="74"/>
        <v>3664.7419447060051</v>
      </c>
      <c r="BQ7" s="659">
        <f t="shared" si="8"/>
        <v>1.5788750544798476E-4</v>
      </c>
      <c r="BR7" s="358">
        <f t="shared" si="75"/>
        <v>1240.300919009823</v>
      </c>
      <c r="BS7" s="809">
        <f t="shared" si="9"/>
        <v>4905.0428637158284</v>
      </c>
      <c r="BT7" s="810">
        <f t="shared" si="10"/>
        <v>1.4131899999999999</v>
      </c>
      <c r="BX7" s="338">
        <f>+BX6+1</f>
        <v>4</v>
      </c>
      <c r="BY7" s="518" t="s">
        <v>409</v>
      </c>
      <c r="BZ7" s="822">
        <v>0.27072634510422583</v>
      </c>
      <c r="CA7" s="823">
        <f>BZ7*$CA$9</f>
        <v>6160477.6262984648</v>
      </c>
      <c r="CB7" s="824"/>
      <c r="CC7" s="824">
        <v>1</v>
      </c>
      <c r="CD7" s="823">
        <f t="shared" si="11"/>
        <v>0</v>
      </c>
      <c r="CE7" s="823">
        <f t="shared" si="11"/>
        <v>6160477.6262984648</v>
      </c>
      <c r="CI7" s="734">
        <f t="shared" si="101"/>
        <v>4</v>
      </c>
      <c r="CJ7" s="146">
        <f t="shared" si="12"/>
        <v>4</v>
      </c>
      <c r="CK7" s="518" t="s">
        <v>410</v>
      </c>
      <c r="CL7" s="344">
        <f t="shared" si="13"/>
        <v>1.5788750544798476E-4</v>
      </c>
      <c r="CM7" s="20">
        <f t="shared" si="14"/>
        <v>845.36761684960129</v>
      </c>
      <c r="CN7" s="344">
        <f t="shared" si="15"/>
        <v>1.1236234807254963E-3</v>
      </c>
      <c r="CO7" s="20">
        <f t="shared" si="16"/>
        <v>19552.31593891386</v>
      </c>
      <c r="CP7" s="20">
        <f t="shared" si="17"/>
        <v>20397.683555763462</v>
      </c>
      <c r="CQ7" s="344">
        <f t="shared" si="18"/>
        <v>8.9638996399739085E-4</v>
      </c>
      <c r="CR7" s="342">
        <f t="shared" si="19"/>
        <v>5.8767680000000002</v>
      </c>
      <c r="CV7" s="843">
        <v>4</v>
      </c>
      <c r="CW7" s="838" t="s">
        <v>72</v>
      </c>
      <c r="CX7" s="622"/>
      <c r="CY7" s="622"/>
      <c r="CZ7" s="839"/>
      <c r="DA7" s="424">
        <f>SUM(DA4:DA6)</f>
        <v>315108.8786993344</v>
      </c>
      <c r="DB7" s="424">
        <f>SUM(DB4:DB6)</f>
        <v>1950133.8462537355</v>
      </c>
      <c r="DC7" s="424">
        <f>SUM(DC4:DC6)</f>
        <v>3246879.6872312212</v>
      </c>
      <c r="DD7" s="911">
        <f>D8</f>
        <v>5512122.4121842906</v>
      </c>
      <c r="DH7" s="734">
        <v>4</v>
      </c>
      <c r="DI7" s="745">
        <f t="shared" si="20"/>
        <v>4</v>
      </c>
      <c r="DJ7" s="518" t="s">
        <v>410</v>
      </c>
      <c r="DK7" s="344">
        <f t="shared" si="21"/>
        <v>8.9638996399739085E-4</v>
      </c>
      <c r="DL7" s="20">
        <f t="shared" si="77"/>
        <v>282.46043643255456</v>
      </c>
      <c r="DM7" s="344">
        <f t="shared" si="22"/>
        <v>1.1236234807254963E-3</v>
      </c>
      <c r="DN7" s="20">
        <f t="shared" si="23"/>
        <v>2191.2161802082223</v>
      </c>
      <c r="DO7" s="344">
        <f t="shared" si="24"/>
        <v>1.5788750544798476E-4</v>
      </c>
      <c r="DP7" s="20">
        <f t="shared" si="25"/>
        <v>512.64173430667051</v>
      </c>
      <c r="DQ7" s="20">
        <f t="shared" si="78"/>
        <v>2986.3183509474475</v>
      </c>
      <c r="DR7" s="344">
        <f t="shared" si="26"/>
        <v>5.4177286490342247E-4</v>
      </c>
      <c r="DS7" s="342">
        <f t="shared" si="27"/>
        <v>0.86038700000000001</v>
      </c>
      <c r="DW7" s="734">
        <f t="shared" si="102"/>
        <v>4</v>
      </c>
      <c r="DX7" s="745">
        <f t="shared" si="28"/>
        <v>4</v>
      </c>
      <c r="DY7" s="518" t="s">
        <v>410</v>
      </c>
      <c r="DZ7" s="344">
        <f t="shared" si="29"/>
        <v>1.1236234807254963E-3</v>
      </c>
      <c r="EA7" s="20">
        <f t="shared" si="30"/>
        <v>4030.7693971987173</v>
      </c>
      <c r="EB7" s="342">
        <f t="shared" si="31"/>
        <v>1.161303</v>
      </c>
      <c r="EF7" s="843">
        <v>4</v>
      </c>
      <c r="EG7" s="30" t="s">
        <v>72</v>
      </c>
      <c r="EH7" s="21">
        <f>SUM(EH4:EH6)</f>
        <v>9669260.545699697</v>
      </c>
      <c r="EI7" s="64">
        <f>EH7/$EH$7</f>
        <v>1</v>
      </c>
      <c r="EJ7" s="21">
        <f>D10</f>
        <v>10680439.72837303</v>
      </c>
      <c r="EN7" s="734">
        <f t="shared" si="103"/>
        <v>4</v>
      </c>
      <c r="EO7" s="745">
        <f t="shared" si="32"/>
        <v>4</v>
      </c>
      <c r="EP7" s="518" t="s">
        <v>410</v>
      </c>
      <c r="EQ7" s="344">
        <f t="shared" si="33"/>
        <v>5.8771597909620791E-4</v>
      </c>
      <c r="ER7" s="20">
        <f t="shared" si="34"/>
        <v>4195.7513250284846</v>
      </c>
      <c r="ES7" s="344">
        <f t="shared" si="35"/>
        <v>8.9638996399739085E-4</v>
      </c>
      <c r="ET7" s="20">
        <f t="shared" si="36"/>
        <v>862.81570961589216</v>
      </c>
      <c r="EU7" s="344">
        <f t="shared" si="37"/>
        <v>1.5788750544798476E-4</v>
      </c>
      <c r="EV7" s="20">
        <f t="shared" si="38"/>
        <v>407.16263689229231</v>
      </c>
      <c r="EW7" s="20">
        <f t="shared" si="39"/>
        <v>5465.7296715366692</v>
      </c>
      <c r="EX7" s="344">
        <f t="shared" si="40"/>
        <v>5.1175137078080532E-4</v>
      </c>
      <c r="EY7" s="342">
        <f t="shared" si="41"/>
        <v>1.574729</v>
      </c>
      <c r="FE7" s="25"/>
      <c r="FI7" s="734">
        <f t="shared" si="104"/>
        <v>4</v>
      </c>
      <c r="FJ7" s="735">
        <f t="shared" si="42"/>
        <v>4</v>
      </c>
      <c r="FK7" s="518" t="s">
        <v>410</v>
      </c>
      <c r="FL7" s="344">
        <f t="shared" si="43"/>
        <v>5.8771597909620791E-4</v>
      </c>
      <c r="FM7" s="20">
        <f t="shared" si="44"/>
        <v>11045.315807695315</v>
      </c>
      <c r="FN7" s="342">
        <f t="shared" si="45"/>
        <v>3.182261</v>
      </c>
      <c r="FR7" s="734">
        <f t="shared" si="105"/>
        <v>4</v>
      </c>
      <c r="FS7" s="735">
        <v>4</v>
      </c>
      <c r="FT7" s="518" t="s">
        <v>410</v>
      </c>
      <c r="FU7" s="20">
        <f t="shared" si="46"/>
        <v>16799.22176198721</v>
      </c>
      <c r="FV7" s="20">
        <f t="shared" si="47"/>
        <v>4905.0428637158284</v>
      </c>
      <c r="FW7" s="20">
        <f t="shared" si="48"/>
        <v>20397.683555763462</v>
      </c>
      <c r="FX7" s="20">
        <f t="shared" si="49"/>
        <v>2986.3183509474475</v>
      </c>
      <c r="FY7" s="20">
        <f t="shared" si="50"/>
        <v>4030.7693971987173</v>
      </c>
      <c r="FZ7" s="20">
        <f t="shared" si="51"/>
        <v>5465.7296715366692</v>
      </c>
      <c r="GA7" s="20">
        <f t="shared" si="52"/>
        <v>11045.315807695315</v>
      </c>
      <c r="GB7" s="20">
        <f t="shared" si="53"/>
        <v>65630.08140884465</v>
      </c>
      <c r="GC7" s="414">
        <f t="shared" si="54"/>
        <v>18.908653999999999</v>
      </c>
      <c r="GG7" s="734">
        <f t="shared" si="79"/>
        <v>4</v>
      </c>
      <c r="GH7" s="735">
        <f t="shared" si="55"/>
        <v>4</v>
      </c>
      <c r="GI7" s="518" t="s">
        <v>410</v>
      </c>
      <c r="GJ7" s="342">
        <f t="shared" si="56"/>
        <v>4.8400160000000003</v>
      </c>
      <c r="GK7" s="342">
        <f t="shared" si="57"/>
        <v>1.4131899999999999</v>
      </c>
      <c r="GL7" s="342">
        <f t="shared" si="58"/>
        <v>5.8767680000000002</v>
      </c>
      <c r="GM7" s="342">
        <f t="shared" si="59"/>
        <v>0.86038700000000001</v>
      </c>
      <c r="GN7" s="342">
        <f t="shared" si="60"/>
        <v>1.161303</v>
      </c>
      <c r="GO7" s="342">
        <f t="shared" si="61"/>
        <v>1.574729</v>
      </c>
      <c r="GP7" s="342">
        <f t="shared" si="62"/>
        <v>3.182261</v>
      </c>
      <c r="GQ7" s="342">
        <f t="shared" si="63"/>
        <v>18.908653999999999</v>
      </c>
      <c r="GR7" s="788">
        <f t="shared" si="80"/>
        <v>347090.18724737968</v>
      </c>
      <c r="GS7" s="716"/>
      <c r="GV7" s="718">
        <f t="shared" si="81"/>
        <v>4</v>
      </c>
      <c r="GW7" s="735">
        <v>4</v>
      </c>
      <c r="GX7" s="518" t="s">
        <v>410</v>
      </c>
      <c r="GY7" s="322" t="s">
        <v>397</v>
      </c>
      <c r="GZ7" s="924">
        <f t="shared" si="82"/>
        <v>65630.08140884465</v>
      </c>
      <c r="HA7" s="788">
        <f t="shared" si="83"/>
        <v>347090.18724737968</v>
      </c>
      <c r="HB7" s="922">
        <f t="shared" si="84"/>
        <v>18.908653999999999</v>
      </c>
      <c r="HC7" s="942">
        <f t="shared" si="85"/>
        <v>65630.082574559143</v>
      </c>
      <c r="HD7" s="858">
        <v>1.2685816618613899E-3</v>
      </c>
      <c r="HE7" s="54"/>
      <c r="HH7" s="54"/>
      <c r="HI7" s="54"/>
      <c r="HJ7" s="54"/>
      <c r="HK7" s="54"/>
      <c r="HL7" s="54"/>
      <c r="HM7" s="54"/>
      <c r="HN7" s="54"/>
      <c r="HQ7" s="734">
        <v>4</v>
      </c>
      <c r="HR7" s="869">
        <v>4</v>
      </c>
      <c r="HS7" s="518" t="s">
        <v>410</v>
      </c>
      <c r="HT7" s="788">
        <f t="shared" si="86"/>
        <v>347090.18724737968</v>
      </c>
      <c r="HU7" s="917">
        <f t="shared" si="87"/>
        <v>18.908653999999999</v>
      </c>
      <c r="HV7" s="870"/>
      <c r="HW7" s="768"/>
      <c r="HX7" s="870">
        <v>-2.307269999999999</v>
      </c>
      <c r="HY7" s="769">
        <v>25</v>
      </c>
      <c r="IP7" s="734">
        <v>4</v>
      </c>
      <c r="IQ7" s="869">
        <v>4</v>
      </c>
      <c r="IR7" s="518" t="s">
        <v>410</v>
      </c>
      <c r="IS7" s="913">
        <f t="shared" si="106"/>
        <v>65630.082574559143</v>
      </c>
      <c r="IT7" s="915">
        <f t="shared" si="88"/>
        <v>347090.18724737968</v>
      </c>
      <c r="IU7" s="919">
        <f t="shared" si="89"/>
        <v>18.908653999999999</v>
      </c>
      <c r="IV7" s="904">
        <f t="shared" si="90"/>
        <v>50901.104962241538</v>
      </c>
      <c r="IW7" s="904">
        <f t="shared" si="91"/>
        <v>296189.08228513814</v>
      </c>
      <c r="IX7" s="913">
        <f t="shared" si="92"/>
        <v>763.51657443362308</v>
      </c>
      <c r="IY7" s="882">
        <f t="shared" si="93"/>
        <v>64866.566000125516</v>
      </c>
      <c r="IZ7" s="928">
        <f t="shared" si="94"/>
        <v>18.688677578168907</v>
      </c>
      <c r="JA7" s="928">
        <f t="shared" si="95"/>
        <v>20.188677578168907</v>
      </c>
      <c r="JB7" s="913">
        <f t="shared" si="107"/>
        <v>65630.082574559143</v>
      </c>
      <c r="JC7" s="883">
        <v>0.22223345161998509</v>
      </c>
      <c r="JG7" s="734">
        <v>4</v>
      </c>
      <c r="JH7" s="869">
        <v>4</v>
      </c>
      <c r="JI7" s="518" t="s">
        <v>410</v>
      </c>
      <c r="JJ7" s="788">
        <f t="shared" si="96"/>
        <v>347090.18724737968</v>
      </c>
      <c r="JK7" s="917">
        <f t="shared" si="97"/>
        <v>18.688677578168907</v>
      </c>
      <c r="JL7" s="870">
        <v>21.068999999999999</v>
      </c>
      <c r="JM7" s="768"/>
      <c r="JN7" s="870"/>
      <c r="JO7" s="769">
        <v>25</v>
      </c>
      <c r="JT7" s="936">
        <v>3149</v>
      </c>
      <c r="JU7" s="936">
        <f t="shared" si="64"/>
        <v>0</v>
      </c>
      <c r="JV7" s="13">
        <v>0</v>
      </c>
      <c r="JW7" s="13">
        <f t="shared" si="65"/>
        <v>0</v>
      </c>
    </row>
    <row r="8" spans="1:294" x14ac:dyDescent="0.3">
      <c r="B8" s="756">
        <v>5</v>
      </c>
      <c r="C8" s="764" t="s">
        <v>53</v>
      </c>
      <c r="D8" s="906">
        <f>'ABDA 8 month Phase I'!LV27</f>
        <v>5512122.4121842906</v>
      </c>
      <c r="E8" s="765">
        <v>4.8469810252916676E-2</v>
      </c>
      <c r="F8" s="766">
        <v>0.25074038084615313</v>
      </c>
      <c r="J8" s="756">
        <v>5</v>
      </c>
      <c r="K8" s="757">
        <v>5</v>
      </c>
      <c r="L8" s="732" t="s">
        <v>412</v>
      </c>
      <c r="M8" s="904">
        <v>0</v>
      </c>
      <c r="N8" s="944">
        <f t="shared" si="66"/>
        <v>0</v>
      </c>
      <c r="O8" s="753">
        <v>10</v>
      </c>
      <c r="P8" s="948">
        <f t="shared" si="67"/>
        <v>0</v>
      </c>
      <c r="Q8" s="733">
        <f t="shared" si="68"/>
        <v>0</v>
      </c>
      <c r="R8" s="758" t="s">
        <v>402</v>
      </c>
      <c r="V8" s="730">
        <f t="shared" si="98"/>
        <v>5</v>
      </c>
      <c r="W8" s="731">
        <f t="shared" si="0"/>
        <v>5</v>
      </c>
      <c r="X8" s="732" t="s">
        <v>412</v>
      </c>
      <c r="Y8" s="924">
        <f t="shared" si="69"/>
        <v>0</v>
      </c>
      <c r="Z8" s="944">
        <f t="shared" si="70"/>
        <v>0</v>
      </c>
      <c r="AD8" s="730">
        <v>5</v>
      </c>
      <c r="AE8" s="746">
        <v>5</v>
      </c>
      <c r="AF8" s="747" t="s">
        <v>412</v>
      </c>
      <c r="AG8" s="748">
        <v>73.19</v>
      </c>
      <c r="AK8" s="39"/>
      <c r="AQ8" s="730">
        <f t="shared" si="71"/>
        <v>5</v>
      </c>
      <c r="AR8" s="783">
        <f t="shared" si="1"/>
        <v>5</v>
      </c>
      <c r="AS8" s="732" t="s">
        <v>412</v>
      </c>
      <c r="AT8" s="732">
        <f t="shared" si="2"/>
        <v>73.19</v>
      </c>
      <c r="AU8" s="784">
        <f t="shared" si="72"/>
        <v>0</v>
      </c>
      <c r="AV8" s="784">
        <f t="shared" si="99"/>
        <v>0</v>
      </c>
      <c r="AW8" s="785">
        <f t="shared" si="3"/>
        <v>0</v>
      </c>
      <c r="AX8" s="786">
        <f t="shared" si="4"/>
        <v>18.28923031912322</v>
      </c>
      <c r="AY8" s="379">
        <f t="shared" si="108"/>
        <v>0</v>
      </c>
      <c r="AZ8" s="51">
        <f t="shared" si="73"/>
        <v>0</v>
      </c>
      <c r="BA8" s="53">
        <f t="shared" si="5"/>
        <v>0</v>
      </c>
      <c r="BL8" s="756">
        <f t="shared" si="100"/>
        <v>5</v>
      </c>
      <c r="BM8" s="758">
        <f t="shared" si="6"/>
        <v>5</v>
      </c>
      <c r="BN8" s="732" t="s">
        <v>412</v>
      </c>
      <c r="BO8" s="733">
        <f t="shared" si="7"/>
        <v>0</v>
      </c>
      <c r="BP8" s="379">
        <f t="shared" si="74"/>
        <v>0</v>
      </c>
      <c r="BQ8" s="733">
        <f t="shared" si="8"/>
        <v>0</v>
      </c>
      <c r="BR8" s="379">
        <f t="shared" si="75"/>
        <v>0</v>
      </c>
      <c r="BS8" s="807">
        <f t="shared" si="9"/>
        <v>0</v>
      </c>
      <c r="BT8" s="808">
        <f t="shared" si="10"/>
        <v>0</v>
      </c>
      <c r="BX8" s="842">
        <f>+BX7+1</f>
        <v>5</v>
      </c>
      <c r="BY8" s="825" t="s">
        <v>411</v>
      </c>
      <c r="BZ8" s="826">
        <v>0.37562046812353972</v>
      </c>
      <c r="CA8" s="827">
        <f>BZ8*$CA$9</f>
        <v>8547382.0029002503</v>
      </c>
      <c r="CB8" s="828"/>
      <c r="CC8" s="828">
        <v>1</v>
      </c>
      <c r="CD8" s="827">
        <f t="shared" si="11"/>
        <v>0</v>
      </c>
      <c r="CE8" s="827">
        <f t="shared" si="11"/>
        <v>8547382.0029002503</v>
      </c>
      <c r="CI8" s="730">
        <f t="shared" si="101"/>
        <v>5</v>
      </c>
      <c r="CJ8" s="746">
        <f t="shared" si="12"/>
        <v>5</v>
      </c>
      <c r="CK8" s="732" t="s">
        <v>412</v>
      </c>
      <c r="CL8" s="733">
        <f t="shared" si="13"/>
        <v>0</v>
      </c>
      <c r="CM8" s="379">
        <f t="shared" si="14"/>
        <v>0</v>
      </c>
      <c r="CN8" s="733">
        <f t="shared" si="15"/>
        <v>0</v>
      </c>
      <c r="CO8" s="379">
        <f t="shared" si="16"/>
        <v>0</v>
      </c>
      <c r="CP8" s="379">
        <f t="shared" si="17"/>
        <v>0</v>
      </c>
      <c r="CQ8" s="733">
        <f t="shared" si="18"/>
        <v>0</v>
      </c>
      <c r="CR8" s="808">
        <f t="shared" si="19"/>
        <v>0</v>
      </c>
      <c r="CX8" s="13"/>
      <c r="CY8" s="13"/>
      <c r="CZ8" s="13"/>
      <c r="DA8" s="13"/>
      <c r="DB8" s="13"/>
      <c r="DC8" s="13"/>
      <c r="DD8" s="13"/>
      <c r="DH8" s="730">
        <v>5</v>
      </c>
      <c r="DI8" s="840">
        <f t="shared" si="20"/>
        <v>5</v>
      </c>
      <c r="DJ8" s="732" t="s">
        <v>412</v>
      </c>
      <c r="DK8" s="733">
        <f t="shared" si="21"/>
        <v>0</v>
      </c>
      <c r="DL8" s="379">
        <f t="shared" si="77"/>
        <v>0</v>
      </c>
      <c r="DM8" s="733">
        <f t="shared" si="22"/>
        <v>0</v>
      </c>
      <c r="DN8" s="379">
        <f t="shared" si="23"/>
        <v>0</v>
      </c>
      <c r="DO8" s="733">
        <f t="shared" si="24"/>
        <v>0</v>
      </c>
      <c r="DP8" s="379">
        <f t="shared" si="25"/>
        <v>0</v>
      </c>
      <c r="DQ8" s="379">
        <f t="shared" si="78"/>
        <v>0</v>
      </c>
      <c r="DR8" s="733">
        <f t="shared" si="26"/>
        <v>0</v>
      </c>
      <c r="DS8" s="808">
        <f t="shared" si="27"/>
        <v>0</v>
      </c>
      <c r="DW8" s="730">
        <f t="shared" si="102"/>
        <v>5</v>
      </c>
      <c r="DX8" s="840">
        <f t="shared" si="28"/>
        <v>5</v>
      </c>
      <c r="DY8" s="732" t="s">
        <v>412</v>
      </c>
      <c r="DZ8" s="733">
        <f t="shared" si="29"/>
        <v>0</v>
      </c>
      <c r="EA8" s="379">
        <f t="shared" si="30"/>
        <v>0</v>
      </c>
      <c r="EB8" s="808">
        <f t="shared" si="31"/>
        <v>0</v>
      </c>
      <c r="EN8" s="730">
        <f t="shared" si="103"/>
        <v>5</v>
      </c>
      <c r="EO8" s="840">
        <f t="shared" si="32"/>
        <v>5</v>
      </c>
      <c r="EP8" s="732" t="s">
        <v>412</v>
      </c>
      <c r="EQ8" s="733">
        <f t="shared" si="33"/>
        <v>0</v>
      </c>
      <c r="ER8" s="379">
        <f t="shared" si="34"/>
        <v>0</v>
      </c>
      <c r="ES8" s="733">
        <f t="shared" si="35"/>
        <v>0</v>
      </c>
      <c r="ET8" s="379">
        <f t="shared" si="36"/>
        <v>0</v>
      </c>
      <c r="EU8" s="733">
        <f t="shared" si="37"/>
        <v>0</v>
      </c>
      <c r="EV8" s="379">
        <f t="shared" si="38"/>
        <v>0</v>
      </c>
      <c r="EW8" s="379">
        <f t="shared" si="39"/>
        <v>0</v>
      </c>
      <c r="EX8" s="733">
        <f t="shared" si="40"/>
        <v>0</v>
      </c>
      <c r="EY8" s="808">
        <f t="shared" si="41"/>
        <v>0</v>
      </c>
      <c r="FI8" s="730">
        <f t="shared" si="104"/>
        <v>5</v>
      </c>
      <c r="FJ8" s="731">
        <f t="shared" si="42"/>
        <v>5</v>
      </c>
      <c r="FK8" s="732" t="s">
        <v>412</v>
      </c>
      <c r="FL8" s="733">
        <f t="shared" si="43"/>
        <v>0</v>
      </c>
      <c r="FM8" s="379">
        <f t="shared" si="44"/>
        <v>0</v>
      </c>
      <c r="FN8" s="808">
        <f t="shared" si="45"/>
        <v>0</v>
      </c>
      <c r="FR8" s="730">
        <f t="shared" si="105"/>
        <v>5</v>
      </c>
      <c r="FS8" s="731">
        <v>5</v>
      </c>
      <c r="FT8" s="732" t="s">
        <v>412</v>
      </c>
      <c r="FU8" s="379">
        <f t="shared" si="46"/>
        <v>0</v>
      </c>
      <c r="FV8" s="379">
        <f t="shared" si="47"/>
        <v>0</v>
      </c>
      <c r="FW8" s="379">
        <f t="shared" si="48"/>
        <v>0</v>
      </c>
      <c r="FX8" s="379">
        <f t="shared" si="49"/>
        <v>0</v>
      </c>
      <c r="FY8" s="379">
        <f t="shared" si="50"/>
        <v>0</v>
      </c>
      <c r="FZ8" s="379">
        <f t="shared" si="51"/>
        <v>0</v>
      </c>
      <c r="GA8" s="379">
        <f t="shared" si="52"/>
        <v>0</v>
      </c>
      <c r="GB8" s="379">
        <f t="shared" si="53"/>
        <v>0</v>
      </c>
      <c r="GC8" s="852">
        <f t="shared" si="54"/>
        <v>0</v>
      </c>
      <c r="GG8" s="730">
        <f t="shared" si="79"/>
        <v>5</v>
      </c>
      <c r="GH8" s="731">
        <f t="shared" si="55"/>
        <v>5</v>
      </c>
      <c r="GI8" s="732" t="s">
        <v>412</v>
      </c>
      <c r="GJ8" s="808">
        <f t="shared" si="56"/>
        <v>0</v>
      </c>
      <c r="GK8" s="808">
        <f t="shared" si="57"/>
        <v>0</v>
      </c>
      <c r="GL8" s="808">
        <f t="shared" si="58"/>
        <v>0</v>
      </c>
      <c r="GM8" s="808">
        <f t="shared" si="59"/>
        <v>0</v>
      </c>
      <c r="GN8" s="808">
        <f t="shared" si="60"/>
        <v>0</v>
      </c>
      <c r="GO8" s="808">
        <f t="shared" si="61"/>
        <v>0</v>
      </c>
      <c r="GP8" s="808">
        <f t="shared" si="62"/>
        <v>0</v>
      </c>
      <c r="GQ8" s="808">
        <f t="shared" si="63"/>
        <v>0</v>
      </c>
      <c r="GR8" s="784">
        <f t="shared" si="80"/>
        <v>0</v>
      </c>
      <c r="GS8" s="716"/>
      <c r="GV8" s="717">
        <f t="shared" si="81"/>
        <v>5</v>
      </c>
      <c r="GW8" s="731">
        <v>5</v>
      </c>
      <c r="GX8" s="732" t="s">
        <v>412</v>
      </c>
      <c r="GY8" s="758" t="s">
        <v>402</v>
      </c>
      <c r="GZ8" s="906">
        <f t="shared" si="82"/>
        <v>0</v>
      </c>
      <c r="HA8" s="784">
        <f t="shared" si="83"/>
        <v>0</v>
      </c>
      <c r="HB8" s="922">
        <v>3149</v>
      </c>
      <c r="HC8" s="942">
        <f t="shared" si="85"/>
        <v>0</v>
      </c>
      <c r="HD8" s="857">
        <v>0</v>
      </c>
      <c r="HE8" s="54"/>
      <c r="HH8" s="54"/>
      <c r="HI8" s="54"/>
      <c r="HJ8" s="54"/>
      <c r="HK8" s="54"/>
      <c r="HL8" s="54"/>
      <c r="HM8" s="54"/>
      <c r="HN8" s="54"/>
      <c r="HQ8" s="730">
        <v>5</v>
      </c>
      <c r="HR8" s="867">
        <v>5</v>
      </c>
      <c r="HS8" s="732" t="s">
        <v>412</v>
      </c>
      <c r="HT8" s="784">
        <f t="shared" si="86"/>
        <v>0</v>
      </c>
      <c r="HU8" s="917">
        <f t="shared" si="87"/>
        <v>3149</v>
      </c>
      <c r="HV8" s="868"/>
      <c r="HW8" s="765"/>
      <c r="HX8" s="868">
        <v>0</v>
      </c>
      <c r="HY8" s="766">
        <v>10000</v>
      </c>
      <c r="IP8" s="730">
        <v>5</v>
      </c>
      <c r="IQ8" s="867">
        <v>5</v>
      </c>
      <c r="IR8" s="732" t="s">
        <v>412</v>
      </c>
      <c r="IS8" s="913">
        <f t="shared" si="106"/>
        <v>0</v>
      </c>
      <c r="IT8" s="915">
        <f t="shared" si="88"/>
        <v>0</v>
      </c>
      <c r="IU8" s="918">
        <f t="shared" si="89"/>
        <v>3149</v>
      </c>
      <c r="IV8" s="904">
        <v>0</v>
      </c>
      <c r="IW8" s="904">
        <f t="shared" si="91"/>
        <v>0</v>
      </c>
      <c r="IX8" s="913">
        <v>0</v>
      </c>
      <c r="IY8" s="881">
        <f t="shared" si="93"/>
        <v>0</v>
      </c>
      <c r="IZ8" s="928">
        <v>3149</v>
      </c>
      <c r="JA8" s="929">
        <f>IZ8</f>
        <v>3149</v>
      </c>
      <c r="JB8" s="913">
        <f t="shared" si="107"/>
        <v>0</v>
      </c>
      <c r="JC8" s="852">
        <v>0</v>
      </c>
      <c r="JG8" s="730">
        <v>5</v>
      </c>
      <c r="JH8" s="867">
        <v>5</v>
      </c>
      <c r="JI8" s="732" t="s">
        <v>412</v>
      </c>
      <c r="JJ8" s="784">
        <f t="shared" si="96"/>
        <v>0</v>
      </c>
      <c r="JK8" s="917">
        <f t="shared" si="97"/>
        <v>3149</v>
      </c>
      <c r="JL8" s="868">
        <v>3149</v>
      </c>
      <c r="JM8" s="765"/>
      <c r="JN8" s="868"/>
      <c r="JO8" s="766">
        <v>10000</v>
      </c>
      <c r="JT8" s="936">
        <v>7.0775299265402563</v>
      </c>
      <c r="JU8" s="936">
        <f t="shared" si="64"/>
        <v>-3.2871651628652465E-2</v>
      </c>
      <c r="JV8" s="13">
        <v>7728396</v>
      </c>
      <c r="JW8" s="13">
        <f t="shared" si="65"/>
        <v>808152.16103677452</v>
      </c>
    </row>
    <row r="9" spans="1:294" ht="17.25" thickBot="1" x14ac:dyDescent="0.35">
      <c r="B9" s="338">
        <v>6</v>
      </c>
      <c r="C9" s="770" t="s">
        <v>51</v>
      </c>
      <c r="D9" s="906">
        <f>'ABDA 8 month Phase I'!LR27+'ABDA 8 month Phase I'!LT27</f>
        <v>3587295.4475783538</v>
      </c>
      <c r="E9" s="768">
        <v>3.1544206870466232E-2</v>
      </c>
      <c r="F9" s="769">
        <v>0.16318212105471561</v>
      </c>
      <c r="J9" s="338">
        <v>6</v>
      </c>
      <c r="K9" s="759">
        <v>6</v>
      </c>
      <c r="L9" s="518" t="s">
        <v>413</v>
      </c>
      <c r="M9" s="904">
        <v>8536548.1610367745</v>
      </c>
      <c r="N9" s="943">
        <f t="shared" si="66"/>
        <v>3.8831817890664184E-3</v>
      </c>
      <c r="O9" s="455">
        <v>1748.7241650294695</v>
      </c>
      <c r="P9" s="948">
        <f t="shared" si="67"/>
        <v>4881.5864341263432</v>
      </c>
      <c r="Q9" s="659">
        <f t="shared" si="68"/>
        <v>2.7897916873497099E-3</v>
      </c>
      <c r="R9" s="322" t="s">
        <v>397</v>
      </c>
      <c r="V9" s="734">
        <f t="shared" si="98"/>
        <v>6</v>
      </c>
      <c r="W9" s="735">
        <f t="shared" si="0"/>
        <v>6</v>
      </c>
      <c r="X9" s="518" t="s">
        <v>413</v>
      </c>
      <c r="Y9" s="924">
        <f t="shared" si="69"/>
        <v>467694.21755489468</v>
      </c>
      <c r="Z9" s="943">
        <f t="shared" si="70"/>
        <v>5.5960252432844795E-3</v>
      </c>
      <c r="AD9" s="734">
        <v>6</v>
      </c>
      <c r="AE9" s="146">
        <v>6</v>
      </c>
      <c r="AF9" s="347" t="s">
        <v>413</v>
      </c>
      <c r="AG9" s="369">
        <v>6.16</v>
      </c>
      <c r="AQ9" s="734">
        <f t="shared" si="71"/>
        <v>6</v>
      </c>
      <c r="AR9" s="787">
        <f t="shared" si="1"/>
        <v>6</v>
      </c>
      <c r="AS9" s="518" t="s">
        <v>413</v>
      </c>
      <c r="AT9" s="518">
        <f t="shared" si="2"/>
        <v>6.16</v>
      </c>
      <c r="AU9" s="788">
        <f t="shared" si="72"/>
        <v>8536548.1610367745</v>
      </c>
      <c r="AV9" s="788">
        <f t="shared" si="99"/>
        <v>14606.982408885149</v>
      </c>
      <c r="AW9" s="789">
        <f t="shared" si="3"/>
        <v>15208.742654329035</v>
      </c>
      <c r="AX9" s="790">
        <f t="shared" si="4"/>
        <v>18.28923031912322</v>
      </c>
      <c r="AY9" s="358">
        <f t="shared" si="108"/>
        <v>278156.19726929715</v>
      </c>
      <c r="AZ9" s="35">
        <f t="shared" si="73"/>
        <v>7.7243807665973128E-3</v>
      </c>
      <c r="BA9" s="55">
        <f t="shared" si="5"/>
        <v>3.2584149999999998</v>
      </c>
      <c r="BL9" s="338">
        <f t="shared" si="100"/>
        <v>6</v>
      </c>
      <c r="BM9" s="322">
        <f t="shared" si="6"/>
        <v>6</v>
      </c>
      <c r="BN9" s="518" t="s">
        <v>413</v>
      </c>
      <c r="BO9" s="659">
        <f t="shared" si="7"/>
        <v>7.7243807665973128E-3</v>
      </c>
      <c r="BP9" s="358">
        <f t="shared" si="74"/>
        <v>60679.637292443724</v>
      </c>
      <c r="BQ9" s="659">
        <f t="shared" si="8"/>
        <v>3.8831817890664184E-3</v>
      </c>
      <c r="BR9" s="358">
        <f t="shared" si="75"/>
        <v>30504.718710930531</v>
      </c>
      <c r="BS9" s="809">
        <f t="shared" si="9"/>
        <v>91184.356003374254</v>
      </c>
      <c r="BT9" s="810">
        <f t="shared" si="10"/>
        <v>1.0681639999999999</v>
      </c>
      <c r="BX9" s="421">
        <v>6</v>
      </c>
      <c r="BY9" s="63" t="s">
        <v>72</v>
      </c>
      <c r="BZ9" s="65">
        <f>SUM(BZ4:BZ8)</f>
        <v>1</v>
      </c>
      <c r="CA9" s="66">
        <v>22755368.059679482</v>
      </c>
      <c r="CB9" s="67"/>
      <c r="CC9" s="67"/>
      <c r="CD9" s="66">
        <f>SUM(CD4:CD8)</f>
        <v>5354240.1246443363</v>
      </c>
      <c r="CE9" s="66">
        <f>SUM(CE4:CE8)</f>
        <v>17401127.935035147</v>
      </c>
      <c r="CI9" s="734">
        <f t="shared" si="101"/>
        <v>6</v>
      </c>
      <c r="CJ9" s="146">
        <f t="shared" si="12"/>
        <v>6</v>
      </c>
      <c r="CK9" s="518" t="s">
        <v>413</v>
      </c>
      <c r="CL9" s="344">
        <f t="shared" si="13"/>
        <v>3.8831817890664184E-3</v>
      </c>
      <c r="CM9" s="20">
        <f t="shared" si="14"/>
        <v>20791.487746307597</v>
      </c>
      <c r="CN9" s="344">
        <f t="shared" si="15"/>
        <v>2.7897916873497099E-3</v>
      </c>
      <c r="CO9" s="20">
        <f t="shared" si="16"/>
        <v>48545.522063669872</v>
      </c>
      <c r="CP9" s="20">
        <f t="shared" si="17"/>
        <v>69337.009809977462</v>
      </c>
      <c r="CQ9" s="344">
        <f t="shared" si="18"/>
        <v>3.0470616703773116E-3</v>
      </c>
      <c r="CR9" s="342">
        <f t="shared" si="19"/>
        <v>0.81223699999999999</v>
      </c>
      <c r="DH9" s="734">
        <v>6</v>
      </c>
      <c r="DI9" s="745">
        <f t="shared" si="20"/>
        <v>6</v>
      </c>
      <c r="DJ9" s="518" t="s">
        <v>413</v>
      </c>
      <c r="DK9" s="344">
        <f t="shared" si="21"/>
        <v>3.0470616703773116E-3</v>
      </c>
      <c r="DL9" s="20">
        <f t="shared" si="77"/>
        <v>960.15618628031552</v>
      </c>
      <c r="DM9" s="344">
        <f t="shared" si="22"/>
        <v>2.7897916873497099E-3</v>
      </c>
      <c r="DN9" s="20">
        <f t="shared" si="23"/>
        <v>5440.4671934979888</v>
      </c>
      <c r="DO9" s="344">
        <f t="shared" si="24"/>
        <v>3.8831817890664184E-3</v>
      </c>
      <c r="DP9" s="20">
        <f t="shared" si="25"/>
        <v>12608.224072745947</v>
      </c>
      <c r="DQ9" s="20">
        <f t="shared" si="78"/>
        <v>19008.847452524249</v>
      </c>
      <c r="DR9" s="344">
        <f t="shared" si="26"/>
        <v>3.4485532125531305E-3</v>
      </c>
      <c r="DS9" s="342">
        <f t="shared" si="27"/>
        <v>0.22267600000000001</v>
      </c>
      <c r="DW9" s="734">
        <f t="shared" si="102"/>
        <v>6</v>
      </c>
      <c r="DX9" s="745">
        <f t="shared" si="28"/>
        <v>6</v>
      </c>
      <c r="DY9" s="518" t="s">
        <v>413</v>
      </c>
      <c r="DZ9" s="344">
        <f t="shared" si="29"/>
        <v>2.7897916873497099E-3</v>
      </c>
      <c r="EA9" s="20">
        <f t="shared" si="30"/>
        <v>10007.807019721549</v>
      </c>
      <c r="EB9" s="342">
        <f t="shared" si="31"/>
        <v>0.11723500000000001</v>
      </c>
      <c r="EN9" s="734">
        <f t="shared" si="103"/>
        <v>6</v>
      </c>
      <c r="EO9" s="745">
        <f t="shared" si="32"/>
        <v>6</v>
      </c>
      <c r="EP9" s="518" t="s">
        <v>413</v>
      </c>
      <c r="EQ9" s="344">
        <f t="shared" si="33"/>
        <v>5.5960252432844795E-3</v>
      </c>
      <c r="ER9" s="20">
        <f t="shared" si="34"/>
        <v>39950.471255708624</v>
      </c>
      <c r="ES9" s="344">
        <f t="shared" si="35"/>
        <v>3.0470616703773116E-3</v>
      </c>
      <c r="ET9" s="20">
        <f t="shared" si="36"/>
        <v>2932.9340833379056</v>
      </c>
      <c r="EU9" s="344">
        <f t="shared" si="37"/>
        <v>3.8831817890664184E-3</v>
      </c>
      <c r="EV9" s="20">
        <f t="shared" si="38"/>
        <v>10014.006695984523</v>
      </c>
      <c r="EW9" s="20">
        <f t="shared" si="39"/>
        <v>52897.412035031048</v>
      </c>
      <c r="EX9" s="344">
        <f t="shared" si="40"/>
        <v>4.9527372823898715E-3</v>
      </c>
      <c r="EY9" s="342">
        <f t="shared" si="41"/>
        <v>0.61965800000000004</v>
      </c>
      <c r="FI9" s="734">
        <f t="shared" si="104"/>
        <v>6</v>
      </c>
      <c r="FJ9" s="735">
        <f t="shared" si="42"/>
        <v>6</v>
      </c>
      <c r="FK9" s="518" t="s">
        <v>413</v>
      </c>
      <c r="FL9" s="344">
        <f t="shared" si="43"/>
        <v>5.5960252432844795E-3</v>
      </c>
      <c r="FM9" s="20">
        <f t="shared" si="44"/>
        <v>105169.61981357653</v>
      </c>
      <c r="FN9" s="342">
        <f t="shared" si="45"/>
        <v>1.231992</v>
      </c>
      <c r="FR9" s="734">
        <f t="shared" si="105"/>
        <v>6</v>
      </c>
      <c r="FS9" s="735">
        <v>6</v>
      </c>
      <c r="FT9" s="518" t="s">
        <v>413</v>
      </c>
      <c r="FU9" s="20">
        <f t="shared" si="46"/>
        <v>278156.19726929715</v>
      </c>
      <c r="FV9" s="20">
        <f t="shared" si="47"/>
        <v>91184.356003374254</v>
      </c>
      <c r="FW9" s="20">
        <f t="shared" si="48"/>
        <v>69337.009809977462</v>
      </c>
      <c r="FX9" s="20">
        <f t="shared" si="49"/>
        <v>19008.847452524249</v>
      </c>
      <c r="FY9" s="20">
        <f t="shared" si="50"/>
        <v>10007.807019721549</v>
      </c>
      <c r="FZ9" s="20">
        <f t="shared" si="51"/>
        <v>52897.412035031048</v>
      </c>
      <c r="GA9" s="20">
        <f t="shared" si="52"/>
        <v>105169.61981357653</v>
      </c>
      <c r="GB9" s="20">
        <f t="shared" si="53"/>
        <v>625761.24940350233</v>
      </c>
      <c r="GC9" s="414">
        <f t="shared" si="54"/>
        <v>7.3303779999999996</v>
      </c>
      <c r="GG9" s="734">
        <f t="shared" si="79"/>
        <v>6</v>
      </c>
      <c r="GH9" s="735">
        <f t="shared" si="55"/>
        <v>6</v>
      </c>
      <c r="GI9" s="518" t="s">
        <v>413</v>
      </c>
      <c r="GJ9" s="342">
        <f t="shared" si="56"/>
        <v>3.2584149999999998</v>
      </c>
      <c r="GK9" s="342">
        <f t="shared" si="57"/>
        <v>1.0681639999999999</v>
      </c>
      <c r="GL9" s="342">
        <f t="shared" si="58"/>
        <v>0.81223699999999999</v>
      </c>
      <c r="GM9" s="342">
        <f t="shared" si="59"/>
        <v>0.22267600000000001</v>
      </c>
      <c r="GN9" s="342">
        <f t="shared" si="60"/>
        <v>0.11723500000000001</v>
      </c>
      <c r="GO9" s="342">
        <f t="shared" si="61"/>
        <v>0.61965800000000004</v>
      </c>
      <c r="GP9" s="342">
        <f t="shared" si="62"/>
        <v>1.231992</v>
      </c>
      <c r="GQ9" s="342">
        <f t="shared" si="63"/>
        <v>7.3303779999999996</v>
      </c>
      <c r="GR9" s="788">
        <f t="shared" si="80"/>
        <v>8536548.1610367745</v>
      </c>
      <c r="GS9" s="716"/>
      <c r="GV9" s="718">
        <f t="shared" si="81"/>
        <v>6</v>
      </c>
      <c r="GW9" s="735">
        <v>6</v>
      </c>
      <c r="GX9" s="518" t="s">
        <v>413</v>
      </c>
      <c r="GY9" s="322" t="s">
        <v>397</v>
      </c>
      <c r="GZ9" s="924">
        <f t="shared" si="82"/>
        <v>625761.24940350233</v>
      </c>
      <c r="HA9" s="788">
        <f t="shared" si="83"/>
        <v>8536548.1610367745</v>
      </c>
      <c r="HB9" s="922">
        <f t="shared" ref="HB9:HB27" si="109">ROUND(IF(HA9&lt;&gt;0,GZ9/HA9*100,0),6)</f>
        <v>7.3303779999999996</v>
      </c>
      <c r="HC9" s="942">
        <f t="shared" si="85"/>
        <v>625761.24835604429</v>
      </c>
      <c r="HD9" s="858">
        <v>2.5401523569598794E-2</v>
      </c>
      <c r="HE9" s="54"/>
      <c r="HH9" s="54"/>
      <c r="HI9" s="54"/>
      <c r="HJ9" s="54"/>
      <c r="HK9" s="54"/>
      <c r="HL9" s="54"/>
      <c r="HM9" s="54"/>
      <c r="HN9" s="54"/>
      <c r="HQ9" s="734">
        <v>6</v>
      </c>
      <c r="HR9" s="869">
        <v>6</v>
      </c>
      <c r="HS9" s="518" t="s">
        <v>413</v>
      </c>
      <c r="HT9" s="788">
        <f t="shared" si="86"/>
        <v>8536548.1610367745</v>
      </c>
      <c r="HU9" s="917">
        <f t="shared" si="87"/>
        <v>7.3303779999999996</v>
      </c>
      <c r="HV9" s="870"/>
      <c r="HW9" s="768"/>
      <c r="HX9" s="870">
        <v>-2.1061819999999996</v>
      </c>
      <c r="HY9" s="769">
        <v>10</v>
      </c>
      <c r="IP9" s="734">
        <v>6</v>
      </c>
      <c r="IQ9" s="869">
        <v>6</v>
      </c>
      <c r="IR9" s="518" t="s">
        <v>413</v>
      </c>
      <c r="IS9" s="913">
        <f t="shared" si="106"/>
        <v>625761.24835604429</v>
      </c>
      <c r="IT9" s="915">
        <f t="shared" si="88"/>
        <v>8536548.1610367745</v>
      </c>
      <c r="IU9" s="919">
        <f t="shared" si="89"/>
        <v>7.3303779999999996</v>
      </c>
      <c r="IV9" s="904">
        <f t="shared" ref="IV9:IV14" si="110">IT9*$IK$4/(1-$IL$4)</f>
        <v>1251892.8795024389</v>
      </c>
      <c r="IW9" s="904">
        <f t="shared" si="91"/>
        <v>7284655.2815343356</v>
      </c>
      <c r="IX9" s="913">
        <f t="shared" ref="IX9:IX14" si="111">IV9*$II$4</f>
        <v>18778.393192536583</v>
      </c>
      <c r="IY9" s="882">
        <f t="shared" si="93"/>
        <v>606982.85516350775</v>
      </c>
      <c r="IZ9" s="928">
        <f t="shared" ref="IZ9:IZ14" si="112">100*IY9/IT9</f>
        <v>7.1104015781689087</v>
      </c>
      <c r="JA9" s="928">
        <f t="shared" ref="JA9:JA14" si="113">IZ9+1.5</f>
        <v>8.6104015781689078</v>
      </c>
      <c r="JB9" s="913">
        <f t="shared" si="107"/>
        <v>625761.24835604429</v>
      </c>
      <c r="JC9" s="883">
        <v>0.22223336728629928</v>
      </c>
      <c r="JG9" s="734">
        <v>6</v>
      </c>
      <c r="JH9" s="869">
        <v>6</v>
      </c>
      <c r="JI9" s="518" t="s">
        <v>413</v>
      </c>
      <c r="JJ9" s="788">
        <f t="shared" si="96"/>
        <v>8536548.1610367745</v>
      </c>
      <c r="JK9" s="917">
        <f t="shared" si="97"/>
        <v>7.1104015781689087</v>
      </c>
      <c r="JL9" s="870">
        <v>9.234</v>
      </c>
      <c r="JM9" s="768"/>
      <c r="JN9" s="870"/>
      <c r="JO9" s="769">
        <v>10</v>
      </c>
      <c r="JT9" s="936">
        <v>6.961513926540257</v>
      </c>
      <c r="JU9" s="936">
        <f t="shared" si="64"/>
        <v>-3.5447651628650156E-2</v>
      </c>
      <c r="JV9" s="13">
        <v>39453520</v>
      </c>
      <c r="JW9" s="13">
        <f t="shared" si="65"/>
        <v>-62512.024608843029</v>
      </c>
    </row>
    <row r="10" spans="1:294" x14ac:dyDescent="0.3">
      <c r="B10" s="756">
        <v>7</v>
      </c>
      <c r="C10" s="764" t="s">
        <v>54</v>
      </c>
      <c r="D10" s="906">
        <f>'ABDA 8 month Phase I'!LX27</f>
        <v>10680439.72837303</v>
      </c>
      <c r="E10" s="765">
        <v>9.3916435148038185E-2</v>
      </c>
      <c r="F10" s="766">
        <v>0.48584144633236104</v>
      </c>
      <c r="J10" s="756">
        <v>7</v>
      </c>
      <c r="K10" s="757">
        <v>7</v>
      </c>
      <c r="L10" s="732" t="s">
        <v>414</v>
      </c>
      <c r="M10" s="904">
        <v>39391007.975391157</v>
      </c>
      <c r="N10" s="944">
        <f t="shared" si="66"/>
        <v>1.7918535916094627E-2</v>
      </c>
      <c r="O10" s="753">
        <v>896.12073276521915</v>
      </c>
      <c r="P10" s="948">
        <f t="shared" si="67"/>
        <v>43957.255462486304</v>
      </c>
      <c r="Q10" s="733">
        <f t="shared" si="68"/>
        <v>2.512125669447442E-2</v>
      </c>
      <c r="R10" s="758" t="s">
        <v>397</v>
      </c>
      <c r="V10" s="730">
        <f t="shared" si="98"/>
        <v>7</v>
      </c>
      <c r="W10" s="731">
        <f t="shared" si="0"/>
        <v>7</v>
      </c>
      <c r="X10" s="732" t="s">
        <v>414</v>
      </c>
      <c r="Y10" s="924">
        <f t="shared" si="69"/>
        <v>2117142.2865861845</v>
      </c>
      <c r="Z10" s="944">
        <f t="shared" si="70"/>
        <v>2.5331896856241813E-2</v>
      </c>
      <c r="AD10" s="730">
        <v>7</v>
      </c>
      <c r="AE10" s="746">
        <v>7</v>
      </c>
      <c r="AF10" s="747" t="s">
        <v>414</v>
      </c>
      <c r="AG10" s="748">
        <v>4.88</v>
      </c>
      <c r="AQ10" s="730">
        <f t="shared" si="71"/>
        <v>7</v>
      </c>
      <c r="AR10" s="783">
        <f t="shared" si="1"/>
        <v>7</v>
      </c>
      <c r="AS10" s="732" t="s">
        <v>414</v>
      </c>
      <c r="AT10" s="732">
        <f t="shared" si="2"/>
        <v>4.88</v>
      </c>
      <c r="AU10" s="784">
        <f t="shared" si="72"/>
        <v>39391007.975391157</v>
      </c>
      <c r="AV10" s="784">
        <f t="shared" si="99"/>
        <v>53396.699699974684</v>
      </c>
      <c r="AW10" s="785">
        <f t="shared" si="3"/>
        <v>55596.470345128946</v>
      </c>
      <c r="AX10" s="786">
        <f t="shared" si="4"/>
        <v>18.28923031912322</v>
      </c>
      <c r="AY10" s="379">
        <f t="shared" si="108"/>
        <v>1016816.6510723673</v>
      </c>
      <c r="AZ10" s="51">
        <f t="shared" si="73"/>
        <v>2.8236936871462757E-2</v>
      </c>
      <c r="BA10" s="53">
        <f t="shared" si="5"/>
        <v>2.5813419999999998</v>
      </c>
      <c r="BL10" s="756">
        <f t="shared" si="100"/>
        <v>7</v>
      </c>
      <c r="BM10" s="758">
        <f t="shared" si="6"/>
        <v>7</v>
      </c>
      <c r="BN10" s="732" t="s">
        <v>414</v>
      </c>
      <c r="BO10" s="733">
        <f t="shared" si="7"/>
        <v>2.8236936871462757E-2</v>
      </c>
      <c r="BP10" s="379">
        <f t="shared" si="74"/>
        <v>221818.0511011717</v>
      </c>
      <c r="BQ10" s="733">
        <f t="shared" si="8"/>
        <v>1.7918535916094627E-2</v>
      </c>
      <c r="BR10" s="379">
        <f t="shared" si="75"/>
        <v>140760.83158691993</v>
      </c>
      <c r="BS10" s="807">
        <f t="shared" si="9"/>
        <v>362578.8826880916</v>
      </c>
      <c r="BT10" s="808">
        <f t="shared" si="10"/>
        <v>0.92046099999999997</v>
      </c>
      <c r="BW10" s="1"/>
      <c r="BX10" s="280"/>
      <c r="BY10" s="10"/>
      <c r="BZ10" s="10"/>
      <c r="CA10" s="10"/>
      <c r="CB10" s="10"/>
      <c r="CC10" s="10"/>
      <c r="CD10" s="10"/>
      <c r="CE10" s="10"/>
      <c r="CI10" s="730">
        <f t="shared" si="101"/>
        <v>7</v>
      </c>
      <c r="CJ10" s="746">
        <f t="shared" si="12"/>
        <v>7</v>
      </c>
      <c r="CK10" s="732" t="s">
        <v>414</v>
      </c>
      <c r="CL10" s="733">
        <f t="shared" si="13"/>
        <v>1.7918535916094627E-2</v>
      </c>
      <c r="CM10" s="379">
        <f t="shared" si="14"/>
        <v>95940.143976834515</v>
      </c>
      <c r="CN10" s="733">
        <f t="shared" si="15"/>
        <v>2.512125669447442E-2</v>
      </c>
      <c r="CO10" s="379">
        <f t="shared" si="16"/>
        <v>437138.20162940753</v>
      </c>
      <c r="CP10" s="379">
        <f t="shared" si="17"/>
        <v>533078.34560624207</v>
      </c>
      <c r="CQ10" s="733">
        <f t="shared" si="18"/>
        <v>2.3426487508712741E-2</v>
      </c>
      <c r="CR10" s="808">
        <f t="shared" si="19"/>
        <v>1.3532999999999999</v>
      </c>
      <c r="DC10" s="2" t="s">
        <v>445</v>
      </c>
      <c r="DD10" s="912">
        <v>5448128.1456260383</v>
      </c>
      <c r="DE10" s="1"/>
      <c r="DH10" s="730">
        <v>7</v>
      </c>
      <c r="DI10" s="840">
        <f t="shared" si="20"/>
        <v>7</v>
      </c>
      <c r="DJ10" s="732" t="s">
        <v>414</v>
      </c>
      <c r="DK10" s="733">
        <f t="shared" si="21"/>
        <v>2.3426487508712741E-2</v>
      </c>
      <c r="DL10" s="379">
        <f t="shared" si="77"/>
        <v>7381.8942107344355</v>
      </c>
      <c r="DM10" s="733">
        <f t="shared" si="22"/>
        <v>2.512125669447442E-2</v>
      </c>
      <c r="DN10" s="379">
        <f t="shared" si="23"/>
        <v>48989.812940322801</v>
      </c>
      <c r="DO10" s="733">
        <f t="shared" si="24"/>
        <v>1.7918535916094627E-2</v>
      </c>
      <c r="DP10" s="379">
        <f t="shared" si="25"/>
        <v>58179.330290890728</v>
      </c>
      <c r="DQ10" s="379">
        <f t="shared" si="78"/>
        <v>114551.03744194796</v>
      </c>
      <c r="DR10" s="733">
        <f t="shared" si="26"/>
        <v>2.078165702357012E-2</v>
      </c>
      <c r="DS10" s="808">
        <f t="shared" si="27"/>
        <v>0.29080499999999998</v>
      </c>
      <c r="DW10" s="730">
        <f t="shared" si="102"/>
        <v>7</v>
      </c>
      <c r="DX10" s="840">
        <f t="shared" si="28"/>
        <v>7</v>
      </c>
      <c r="DY10" s="732" t="s">
        <v>414</v>
      </c>
      <c r="DZ10" s="733">
        <f t="shared" si="29"/>
        <v>2.512125669447442E-2</v>
      </c>
      <c r="EA10" s="379">
        <f t="shared" si="30"/>
        <v>90117.369777535336</v>
      </c>
      <c r="EB10" s="808">
        <f t="shared" si="31"/>
        <v>0.22877700000000001</v>
      </c>
      <c r="EH10" s="4"/>
      <c r="EI10" s="4"/>
      <c r="EJ10" s="4"/>
      <c r="EN10" s="730">
        <f t="shared" si="103"/>
        <v>7</v>
      </c>
      <c r="EO10" s="840">
        <f t="shared" si="32"/>
        <v>7</v>
      </c>
      <c r="EP10" s="732" t="s">
        <v>414</v>
      </c>
      <c r="EQ10" s="733">
        <f t="shared" si="33"/>
        <v>2.5331896856241813E-2</v>
      </c>
      <c r="ER10" s="379">
        <f t="shared" si="34"/>
        <v>180846.43531984458</v>
      </c>
      <c r="ES10" s="733">
        <f t="shared" si="35"/>
        <v>2.3426487508712741E-2</v>
      </c>
      <c r="ET10" s="379">
        <f t="shared" si="36"/>
        <v>22549.049248053219</v>
      </c>
      <c r="EU10" s="733">
        <f t="shared" si="37"/>
        <v>1.7918535916094627E-2</v>
      </c>
      <c r="EV10" s="379">
        <f t="shared" si="38"/>
        <v>46208.585740496645</v>
      </c>
      <c r="EW10" s="379">
        <f t="shared" si="39"/>
        <v>249604.07030839444</v>
      </c>
      <c r="EX10" s="733">
        <f t="shared" si="40"/>
        <v>2.3370205408800814E-2</v>
      </c>
      <c r="EY10" s="808">
        <f t="shared" si="41"/>
        <v>0.63365700000000003</v>
      </c>
      <c r="FI10" s="730">
        <f t="shared" si="104"/>
        <v>7</v>
      </c>
      <c r="FJ10" s="731">
        <f t="shared" si="42"/>
        <v>7</v>
      </c>
      <c r="FK10" s="732" t="s">
        <v>414</v>
      </c>
      <c r="FL10" s="733">
        <f t="shared" si="43"/>
        <v>2.5331896856241813E-2</v>
      </c>
      <c r="FM10" s="379">
        <f t="shared" si="44"/>
        <v>476078.26014094544</v>
      </c>
      <c r="FN10" s="808">
        <f t="shared" si="45"/>
        <v>1.208596</v>
      </c>
      <c r="FR10" s="730">
        <f t="shared" si="105"/>
        <v>7</v>
      </c>
      <c r="FS10" s="731">
        <v>7</v>
      </c>
      <c r="FT10" s="732" t="s">
        <v>414</v>
      </c>
      <c r="FU10" s="379">
        <f t="shared" si="46"/>
        <v>1016816.6510723673</v>
      </c>
      <c r="FV10" s="379">
        <f t="shared" si="47"/>
        <v>362578.8826880916</v>
      </c>
      <c r="FW10" s="379">
        <f t="shared" si="48"/>
        <v>533078.34560624207</v>
      </c>
      <c r="FX10" s="379">
        <f t="shared" si="49"/>
        <v>114551.03744194796</v>
      </c>
      <c r="FY10" s="379">
        <f t="shared" si="50"/>
        <v>90117.369777535336</v>
      </c>
      <c r="FZ10" s="379">
        <f t="shared" si="51"/>
        <v>249604.07030839444</v>
      </c>
      <c r="GA10" s="379">
        <f t="shared" si="52"/>
        <v>476078.26014094544</v>
      </c>
      <c r="GB10" s="379">
        <f t="shared" si="53"/>
        <v>2842824.617035524</v>
      </c>
      <c r="GC10" s="852">
        <f t="shared" si="54"/>
        <v>7.2169379999999999</v>
      </c>
      <c r="GG10" s="730">
        <f t="shared" si="79"/>
        <v>7</v>
      </c>
      <c r="GH10" s="731">
        <f t="shared" si="55"/>
        <v>7</v>
      </c>
      <c r="GI10" s="732" t="s">
        <v>414</v>
      </c>
      <c r="GJ10" s="808">
        <f t="shared" si="56"/>
        <v>2.5813419999999998</v>
      </c>
      <c r="GK10" s="808">
        <f t="shared" si="57"/>
        <v>0.92046099999999997</v>
      </c>
      <c r="GL10" s="808">
        <f t="shared" si="58"/>
        <v>1.3532999999999999</v>
      </c>
      <c r="GM10" s="808">
        <f t="shared" si="59"/>
        <v>0.29080499999999998</v>
      </c>
      <c r="GN10" s="808">
        <f t="shared" si="60"/>
        <v>0.22877700000000001</v>
      </c>
      <c r="GO10" s="808">
        <f t="shared" si="61"/>
        <v>0.63365700000000003</v>
      </c>
      <c r="GP10" s="808">
        <f t="shared" si="62"/>
        <v>1.208596</v>
      </c>
      <c r="GQ10" s="808">
        <f t="shared" si="63"/>
        <v>7.2169379999999999</v>
      </c>
      <c r="GR10" s="784">
        <f t="shared" si="80"/>
        <v>39391007.975391157</v>
      </c>
      <c r="GS10" s="716"/>
      <c r="GV10" s="717">
        <f t="shared" si="81"/>
        <v>7</v>
      </c>
      <c r="GW10" s="731">
        <v>7</v>
      </c>
      <c r="GX10" s="732" t="s">
        <v>414</v>
      </c>
      <c r="GY10" s="758" t="s">
        <v>397</v>
      </c>
      <c r="GZ10" s="906">
        <f t="shared" si="82"/>
        <v>2842824.617035524</v>
      </c>
      <c r="HA10" s="784">
        <f t="shared" si="83"/>
        <v>39391007.975391157</v>
      </c>
      <c r="HB10" s="922">
        <f t="shared" si="109"/>
        <v>7.2169379999999999</v>
      </c>
      <c r="HC10" s="942">
        <f t="shared" si="85"/>
        <v>2842824.6231590346</v>
      </c>
      <c r="HD10" s="857">
        <v>-0.10420352779328823</v>
      </c>
      <c r="HE10" s="54"/>
      <c r="HH10" s="54"/>
      <c r="HI10" s="54"/>
      <c r="HJ10" s="54"/>
      <c r="HK10" s="54"/>
      <c r="HL10" s="54"/>
      <c r="HM10" s="54"/>
      <c r="HN10" s="54"/>
      <c r="HQ10" s="730">
        <v>7</v>
      </c>
      <c r="HR10" s="867">
        <v>7</v>
      </c>
      <c r="HS10" s="732" t="s">
        <v>414</v>
      </c>
      <c r="HT10" s="784">
        <f t="shared" si="86"/>
        <v>39391007.975391157</v>
      </c>
      <c r="HU10" s="917">
        <f t="shared" si="87"/>
        <v>7.2169379999999999</v>
      </c>
      <c r="HV10" s="868"/>
      <c r="HW10" s="765"/>
      <c r="HX10" s="868">
        <v>-1.6458860000000008</v>
      </c>
      <c r="HY10" s="766">
        <v>10</v>
      </c>
      <c r="IP10" s="730">
        <v>7</v>
      </c>
      <c r="IQ10" s="867">
        <v>7</v>
      </c>
      <c r="IR10" s="732" t="s">
        <v>414</v>
      </c>
      <c r="IS10" s="913">
        <f t="shared" si="106"/>
        <v>2842824.6231590346</v>
      </c>
      <c r="IT10" s="915">
        <f t="shared" si="88"/>
        <v>39391007.975391157</v>
      </c>
      <c r="IU10" s="918">
        <f t="shared" si="89"/>
        <v>7.2169379999999999</v>
      </c>
      <c r="IV10" s="904">
        <f t="shared" si="110"/>
        <v>5776728.6578310365</v>
      </c>
      <c r="IW10" s="904">
        <f t="shared" si="91"/>
        <v>33614279.317560121</v>
      </c>
      <c r="IX10" s="913">
        <f t="shared" si="111"/>
        <v>86650.929867465544</v>
      </c>
      <c r="IY10" s="881">
        <f t="shared" si="93"/>
        <v>2756173.6932915691</v>
      </c>
      <c r="IZ10" s="928">
        <f t="shared" si="112"/>
        <v>6.9969615781689072</v>
      </c>
      <c r="JA10" s="928">
        <f t="shared" si="113"/>
        <v>8.4969615781689072</v>
      </c>
      <c r="JB10" s="913">
        <f t="shared" si="107"/>
        <v>2842824.6231590346</v>
      </c>
      <c r="JC10" s="852">
        <v>0.22223282916511877</v>
      </c>
      <c r="JG10" s="730">
        <v>7</v>
      </c>
      <c r="JH10" s="867">
        <v>7</v>
      </c>
      <c r="JI10" s="732" t="s">
        <v>414</v>
      </c>
      <c r="JJ10" s="784">
        <f t="shared" si="96"/>
        <v>39391007.975391157</v>
      </c>
      <c r="JK10" s="917">
        <f t="shared" si="97"/>
        <v>6.9969615781689072</v>
      </c>
      <c r="JL10" s="868">
        <v>8.6649999999999991</v>
      </c>
      <c r="JM10" s="765"/>
      <c r="JN10" s="868"/>
      <c r="JO10" s="766">
        <v>10</v>
      </c>
      <c r="JT10" s="936">
        <v>13.512674926540257</v>
      </c>
      <c r="JU10" s="936">
        <f t="shared" si="64"/>
        <v>-7.4922651628652304E-2</v>
      </c>
      <c r="JV10" s="13">
        <v>26972258</v>
      </c>
      <c r="JW10" s="13">
        <f t="shared" si="65"/>
        <v>254090.31669020653</v>
      </c>
    </row>
    <row r="11" spans="1:294" x14ac:dyDescent="0.3">
      <c r="B11" s="338">
        <v>8</v>
      </c>
      <c r="C11" s="767" t="s">
        <v>250</v>
      </c>
      <c r="D11" s="906">
        <f>'ABDA 8 month Phase I'!MT13</f>
        <v>18998322.143907189</v>
      </c>
      <c r="E11" s="768">
        <v>0.16902044974442379</v>
      </c>
      <c r="F11" s="769">
        <v>0.87436389205081888</v>
      </c>
      <c r="J11" s="338">
        <v>8</v>
      </c>
      <c r="K11" s="759">
        <v>8</v>
      </c>
      <c r="L11" s="518" t="s">
        <v>415</v>
      </c>
      <c r="M11" s="904">
        <v>27226348.316690207</v>
      </c>
      <c r="N11" s="943">
        <f t="shared" si="66"/>
        <v>1.2384966144595631E-2</v>
      </c>
      <c r="O11" s="455">
        <v>362.05552889365669</v>
      </c>
      <c r="P11" s="948">
        <f t="shared" si="67"/>
        <v>75199.371764564756</v>
      </c>
      <c r="Q11" s="659">
        <f t="shared" si="68"/>
        <v>4.2975902418953979E-2</v>
      </c>
      <c r="R11" s="322" t="s">
        <v>397</v>
      </c>
      <c r="V11" s="734">
        <f t="shared" si="98"/>
        <v>8</v>
      </c>
      <c r="W11" s="735">
        <f t="shared" si="0"/>
        <v>8</v>
      </c>
      <c r="X11" s="518" t="s">
        <v>415</v>
      </c>
      <c r="Y11" s="924">
        <f t="shared" si="69"/>
        <v>2818403.8345452854</v>
      </c>
      <c r="Z11" s="943">
        <f t="shared" si="70"/>
        <v>3.3722587134689126E-2</v>
      </c>
      <c r="AD11" s="734">
        <v>8</v>
      </c>
      <c r="AE11" s="146">
        <v>8</v>
      </c>
      <c r="AF11" s="347" t="s">
        <v>415</v>
      </c>
      <c r="AG11" s="369">
        <v>9.2200000000000006</v>
      </c>
      <c r="AQ11" s="734">
        <f t="shared" si="71"/>
        <v>8</v>
      </c>
      <c r="AR11" s="787">
        <f t="shared" si="1"/>
        <v>8</v>
      </c>
      <c r="AS11" s="518" t="s">
        <v>415</v>
      </c>
      <c r="AT11" s="518">
        <f t="shared" si="2"/>
        <v>9.2200000000000006</v>
      </c>
      <c r="AU11" s="788">
        <f t="shared" si="72"/>
        <v>27226348.316690207</v>
      </c>
      <c r="AV11" s="788">
        <f t="shared" si="99"/>
        <v>69729.703188856598</v>
      </c>
      <c r="AW11" s="789">
        <f t="shared" si="3"/>
        <v>72602.340543450235</v>
      </c>
      <c r="AX11" s="790">
        <f t="shared" si="4"/>
        <v>18.28923031912322</v>
      </c>
      <c r="AY11" s="358">
        <f t="shared" si="108"/>
        <v>1327840.9279065791</v>
      </c>
      <c r="AZ11" s="35">
        <f t="shared" si="73"/>
        <v>3.6874062218690128E-2</v>
      </c>
      <c r="BA11" s="55">
        <f t="shared" si="5"/>
        <v>4.8770439999999997</v>
      </c>
      <c r="BL11" s="338">
        <f t="shared" si="100"/>
        <v>8</v>
      </c>
      <c r="BM11" s="322">
        <f t="shared" si="6"/>
        <v>8</v>
      </c>
      <c r="BN11" s="518" t="s">
        <v>415</v>
      </c>
      <c r="BO11" s="659">
        <f t="shared" si="7"/>
        <v>3.6874062218690128E-2</v>
      </c>
      <c r="BP11" s="358">
        <f t="shared" si="74"/>
        <v>289667.84374545648</v>
      </c>
      <c r="BQ11" s="659">
        <f t="shared" si="8"/>
        <v>1.2384966144595631E-2</v>
      </c>
      <c r="BR11" s="358">
        <f t="shared" si="75"/>
        <v>97291.326805515564</v>
      </c>
      <c r="BS11" s="809">
        <f t="shared" si="9"/>
        <v>386959.17055097205</v>
      </c>
      <c r="BT11" s="810">
        <f t="shared" si="10"/>
        <v>1.4212670000000001</v>
      </c>
      <c r="BW11" s="1"/>
      <c r="BX11" s="10"/>
      <c r="BY11" s="10"/>
      <c r="BZ11" s="10"/>
      <c r="CA11" s="10"/>
      <c r="CB11" s="10"/>
      <c r="CC11" s="10"/>
      <c r="CD11" s="10"/>
      <c r="CE11" s="10"/>
      <c r="CI11" s="734">
        <f t="shared" si="101"/>
        <v>8</v>
      </c>
      <c r="CJ11" s="146">
        <f t="shared" si="12"/>
        <v>8</v>
      </c>
      <c r="CK11" s="518" t="s">
        <v>415</v>
      </c>
      <c r="CL11" s="344">
        <f t="shared" si="13"/>
        <v>1.2384966144595631E-2</v>
      </c>
      <c r="CM11" s="20">
        <f t="shared" si="14"/>
        <v>66312.082673755605</v>
      </c>
      <c r="CN11" s="344">
        <f t="shared" si="15"/>
        <v>4.2975902418953979E-2</v>
      </c>
      <c r="CO11" s="20">
        <f t="shared" si="16"/>
        <v>747829.17611580458</v>
      </c>
      <c r="CP11" s="20">
        <f t="shared" si="17"/>
        <v>814141.25878956018</v>
      </c>
      <c r="CQ11" s="344">
        <f t="shared" si="18"/>
        <v>3.5777986831693899E-2</v>
      </c>
      <c r="CR11" s="342">
        <f t="shared" si="19"/>
        <v>2.9902700000000002</v>
      </c>
      <c r="DC11" s="2" t="s">
        <v>456</v>
      </c>
      <c r="DD11" s="5">
        <v>0.70758002106159879</v>
      </c>
      <c r="DE11" s="1"/>
      <c r="DH11" s="734">
        <v>8</v>
      </c>
      <c r="DI11" s="745">
        <f t="shared" si="20"/>
        <v>8</v>
      </c>
      <c r="DJ11" s="518" t="s">
        <v>415</v>
      </c>
      <c r="DK11" s="344">
        <f t="shared" si="21"/>
        <v>3.5777986831693899E-2</v>
      </c>
      <c r="DL11" s="20">
        <f t="shared" si="77"/>
        <v>11273.961312654616</v>
      </c>
      <c r="DM11" s="344">
        <f t="shared" si="22"/>
        <v>4.2975902418953979E-2</v>
      </c>
      <c r="DN11" s="20">
        <f t="shared" si="23"/>
        <v>83808.761880499937</v>
      </c>
      <c r="DO11" s="344">
        <f t="shared" si="24"/>
        <v>1.2384966144595631E-2</v>
      </c>
      <c r="DP11" s="20">
        <f t="shared" si="25"/>
        <v>40212.49500193393</v>
      </c>
      <c r="DQ11" s="20">
        <f t="shared" si="78"/>
        <v>135295.2181950885</v>
      </c>
      <c r="DR11" s="344">
        <f t="shared" si="26"/>
        <v>2.4545031492048269E-2</v>
      </c>
      <c r="DS11" s="342">
        <f t="shared" si="27"/>
        <v>0.49692799999999998</v>
      </c>
      <c r="DW11" s="734">
        <f t="shared" si="102"/>
        <v>8</v>
      </c>
      <c r="DX11" s="745">
        <f t="shared" si="28"/>
        <v>8</v>
      </c>
      <c r="DY11" s="518" t="s">
        <v>415</v>
      </c>
      <c r="DZ11" s="344">
        <f t="shared" si="29"/>
        <v>4.2975902418953979E-2</v>
      </c>
      <c r="EA11" s="20">
        <f t="shared" si="30"/>
        <v>154167.25910308518</v>
      </c>
      <c r="EB11" s="342">
        <f t="shared" si="31"/>
        <v>0.56624300000000005</v>
      </c>
      <c r="EH11" s="4"/>
      <c r="EI11" s="4"/>
      <c r="EJ11" s="4"/>
      <c r="EN11" s="734">
        <f t="shared" si="103"/>
        <v>8</v>
      </c>
      <c r="EO11" s="745">
        <f t="shared" si="32"/>
        <v>8</v>
      </c>
      <c r="EP11" s="518" t="s">
        <v>415</v>
      </c>
      <c r="EQ11" s="344">
        <f t="shared" si="33"/>
        <v>3.3722587134689126E-2</v>
      </c>
      <c r="ER11" s="20">
        <f t="shared" si="34"/>
        <v>240748.24351610584</v>
      </c>
      <c r="ES11" s="344">
        <f t="shared" si="35"/>
        <v>3.5777986831693899E-2</v>
      </c>
      <c r="ET11" s="20">
        <f t="shared" si="36"/>
        <v>34437.923600967348</v>
      </c>
      <c r="EU11" s="344">
        <f t="shared" si="37"/>
        <v>1.2384966144595631E-2</v>
      </c>
      <c r="EV11" s="20">
        <f t="shared" si="38"/>
        <v>31938.534078091539</v>
      </c>
      <c r="EW11" s="20">
        <f t="shared" si="39"/>
        <v>307124.70119516476</v>
      </c>
      <c r="EX11" s="344">
        <f t="shared" si="40"/>
        <v>2.8755810528968702E-2</v>
      </c>
      <c r="EY11" s="342">
        <f t="shared" si="41"/>
        <v>1.128042</v>
      </c>
      <c r="FI11" s="734">
        <f t="shared" si="104"/>
        <v>8</v>
      </c>
      <c r="FJ11" s="735">
        <f t="shared" si="42"/>
        <v>8</v>
      </c>
      <c r="FK11" s="518" t="s">
        <v>415</v>
      </c>
      <c r="FL11" s="344">
        <f t="shared" si="43"/>
        <v>3.3722587134689126E-2</v>
      </c>
      <c r="FM11" s="20">
        <f t="shared" si="44"/>
        <v>633769.77656445641</v>
      </c>
      <c r="FN11" s="342">
        <f t="shared" si="45"/>
        <v>2.3277809999999999</v>
      </c>
      <c r="FR11" s="734">
        <f t="shared" si="105"/>
        <v>8</v>
      </c>
      <c r="FS11" s="735">
        <v>8</v>
      </c>
      <c r="FT11" s="518" t="s">
        <v>415</v>
      </c>
      <c r="FU11" s="20">
        <f t="shared" si="46"/>
        <v>1327840.9279065791</v>
      </c>
      <c r="FV11" s="20">
        <f t="shared" si="47"/>
        <v>386959.17055097205</v>
      </c>
      <c r="FW11" s="20">
        <f t="shared" si="48"/>
        <v>814141.25878956018</v>
      </c>
      <c r="FX11" s="20">
        <f t="shared" si="49"/>
        <v>135295.2181950885</v>
      </c>
      <c r="FY11" s="20">
        <f t="shared" si="50"/>
        <v>154167.25910308518</v>
      </c>
      <c r="FZ11" s="20">
        <f t="shared" si="51"/>
        <v>307124.70119516476</v>
      </c>
      <c r="GA11" s="20">
        <f t="shared" si="52"/>
        <v>633769.77656445641</v>
      </c>
      <c r="GB11" s="20">
        <f t="shared" si="53"/>
        <v>3759298.3123049065</v>
      </c>
      <c r="GC11" s="414">
        <f t="shared" si="54"/>
        <v>13.807574000000001</v>
      </c>
      <c r="GG11" s="734">
        <f t="shared" si="79"/>
        <v>8</v>
      </c>
      <c r="GH11" s="735">
        <f t="shared" si="55"/>
        <v>8</v>
      </c>
      <c r="GI11" s="518" t="s">
        <v>415</v>
      </c>
      <c r="GJ11" s="342">
        <f t="shared" si="56"/>
        <v>4.8770439999999997</v>
      </c>
      <c r="GK11" s="342">
        <f t="shared" si="57"/>
        <v>1.4212670000000001</v>
      </c>
      <c r="GL11" s="342">
        <f t="shared" si="58"/>
        <v>2.9902700000000002</v>
      </c>
      <c r="GM11" s="342">
        <f t="shared" si="59"/>
        <v>0.49692799999999998</v>
      </c>
      <c r="GN11" s="342">
        <f t="shared" si="60"/>
        <v>0.56624300000000005</v>
      </c>
      <c r="GO11" s="342">
        <f t="shared" si="61"/>
        <v>1.128042</v>
      </c>
      <c r="GP11" s="342">
        <f t="shared" si="62"/>
        <v>2.3277809999999999</v>
      </c>
      <c r="GQ11" s="342">
        <f t="shared" si="63"/>
        <v>13.807574000000001</v>
      </c>
      <c r="GR11" s="788">
        <f t="shared" si="80"/>
        <v>27226348.316690207</v>
      </c>
      <c r="GS11" s="716"/>
      <c r="GV11" s="718">
        <f t="shared" si="81"/>
        <v>8</v>
      </c>
      <c r="GW11" s="735">
        <v>8</v>
      </c>
      <c r="GX11" s="518" t="s">
        <v>415</v>
      </c>
      <c r="GY11" s="322" t="s">
        <v>397</v>
      </c>
      <c r="GZ11" s="924">
        <f t="shared" si="82"/>
        <v>3759298.3123049065</v>
      </c>
      <c r="HA11" s="788">
        <f t="shared" si="83"/>
        <v>27226348.316690207</v>
      </c>
      <c r="HB11" s="922">
        <f t="shared" si="109"/>
        <v>13.807574000000001</v>
      </c>
      <c r="HC11" s="942">
        <f t="shared" si="85"/>
        <v>3759298.1913247551</v>
      </c>
      <c r="HD11" s="858">
        <v>7.107064500451088E-2</v>
      </c>
      <c r="HE11" s="54"/>
      <c r="HH11" s="54"/>
      <c r="HI11" s="54"/>
      <c r="HJ11" s="54"/>
      <c r="HK11" s="54"/>
      <c r="HL11" s="54"/>
      <c r="HM11" s="54"/>
      <c r="HN11" s="54"/>
      <c r="HQ11" s="734">
        <v>8</v>
      </c>
      <c r="HR11" s="869">
        <v>8</v>
      </c>
      <c r="HS11" s="518" t="s">
        <v>415</v>
      </c>
      <c r="HT11" s="788">
        <f t="shared" si="86"/>
        <v>27226348.316690207</v>
      </c>
      <c r="HU11" s="917">
        <f t="shared" si="87"/>
        <v>13.807574000000001</v>
      </c>
      <c r="HV11" s="870"/>
      <c r="HW11" s="768"/>
      <c r="HX11" s="870">
        <v>-2.8347379999999998</v>
      </c>
      <c r="HY11" s="769">
        <v>25</v>
      </c>
      <c r="IP11" s="734">
        <v>8</v>
      </c>
      <c r="IQ11" s="869">
        <v>8</v>
      </c>
      <c r="IR11" s="518" t="s">
        <v>415</v>
      </c>
      <c r="IS11" s="913">
        <f t="shared" si="106"/>
        <v>3759298.1913247551</v>
      </c>
      <c r="IT11" s="915">
        <f t="shared" si="88"/>
        <v>27226348.316690207</v>
      </c>
      <c r="IU11" s="919">
        <f t="shared" si="89"/>
        <v>13.807574000000001</v>
      </c>
      <c r="IV11" s="904">
        <f t="shared" si="110"/>
        <v>3992769.7881549913</v>
      </c>
      <c r="IW11" s="904">
        <f t="shared" si="91"/>
        <v>23233578.528535217</v>
      </c>
      <c r="IX11" s="913">
        <f t="shared" si="111"/>
        <v>59891.546822324868</v>
      </c>
      <c r="IY11" s="882">
        <f t="shared" si="93"/>
        <v>3699406.6445024302</v>
      </c>
      <c r="IZ11" s="928">
        <f t="shared" si="112"/>
        <v>13.587597578168909</v>
      </c>
      <c r="JA11" s="928">
        <f t="shared" si="113"/>
        <v>15.087597578168909</v>
      </c>
      <c r="JB11" s="913">
        <f t="shared" si="107"/>
        <v>3759298.1913247551</v>
      </c>
      <c r="JC11" s="883">
        <v>0.22223335000653854</v>
      </c>
      <c r="JG11" s="734">
        <v>8</v>
      </c>
      <c r="JH11" s="869">
        <v>8</v>
      </c>
      <c r="JI11" s="518" t="s">
        <v>415</v>
      </c>
      <c r="JJ11" s="788">
        <f t="shared" si="96"/>
        <v>27226348.316690207</v>
      </c>
      <c r="JK11" s="917">
        <f t="shared" si="97"/>
        <v>13.587597578168909</v>
      </c>
      <c r="JL11" s="870">
        <v>16.465</v>
      </c>
      <c r="JM11" s="768"/>
      <c r="JN11" s="870"/>
      <c r="JO11" s="769">
        <v>25</v>
      </c>
      <c r="JT11" s="936">
        <v>7.8380709265402579</v>
      </c>
      <c r="JU11" s="936">
        <f t="shared" si="64"/>
        <v>-3.9642651628649439E-2</v>
      </c>
      <c r="JV11" s="13">
        <v>123957514</v>
      </c>
      <c r="JW11" s="13">
        <f t="shared" si="65"/>
        <v>-4945829.9840179682</v>
      </c>
    </row>
    <row r="12" spans="1:294" x14ac:dyDescent="0.3">
      <c r="B12" s="756">
        <v>9</v>
      </c>
      <c r="C12" s="764" t="s">
        <v>401</v>
      </c>
      <c r="D12" s="379">
        <v>-204693.58767693696</v>
      </c>
      <c r="E12" s="765">
        <v>-1.8210767238753768E-3</v>
      </c>
      <c r="F12" s="766">
        <v>-9.4206572898044259E-3</v>
      </c>
      <c r="J12" s="756">
        <v>9</v>
      </c>
      <c r="K12" s="757">
        <v>9</v>
      </c>
      <c r="L12" s="732" t="s">
        <v>416</v>
      </c>
      <c r="M12" s="904">
        <v>119011684.01598203</v>
      </c>
      <c r="N12" s="944">
        <f t="shared" si="66"/>
        <v>5.4137104991259184E-2</v>
      </c>
      <c r="O12" s="753">
        <v>872.65582457349649</v>
      </c>
      <c r="P12" s="948">
        <f t="shared" si="67"/>
        <v>136378.71961050399</v>
      </c>
      <c r="Q12" s="733">
        <f t="shared" si="68"/>
        <v>7.7939461573596658E-2</v>
      </c>
      <c r="R12" s="758" t="s">
        <v>397</v>
      </c>
      <c r="V12" s="730">
        <f t="shared" si="98"/>
        <v>9</v>
      </c>
      <c r="W12" s="731">
        <f t="shared" si="0"/>
        <v>9</v>
      </c>
      <c r="X12" s="732" t="s">
        <v>416</v>
      </c>
      <c r="Y12" s="924">
        <f t="shared" si="69"/>
        <v>7195330.4995787423</v>
      </c>
      <c r="Z12" s="944">
        <f t="shared" si="70"/>
        <v>8.6093112974379063E-2</v>
      </c>
      <c r="AD12" s="730">
        <v>9</v>
      </c>
      <c r="AE12" s="746">
        <v>9</v>
      </c>
      <c r="AF12" s="747" t="s">
        <v>416</v>
      </c>
      <c r="AG12" s="748">
        <v>5.86</v>
      </c>
      <c r="AQ12" s="730">
        <f t="shared" si="71"/>
        <v>9</v>
      </c>
      <c r="AR12" s="783">
        <f t="shared" si="1"/>
        <v>9</v>
      </c>
      <c r="AS12" s="732" t="s">
        <v>416</v>
      </c>
      <c r="AT12" s="732">
        <f t="shared" si="2"/>
        <v>5.86</v>
      </c>
      <c r="AU12" s="784">
        <f t="shared" si="72"/>
        <v>119011684.01598203</v>
      </c>
      <c r="AV12" s="784">
        <f t="shared" si="99"/>
        <v>193724.57453712632</v>
      </c>
      <c r="AW12" s="785">
        <f>AV12*$AM$5/$AV$28</f>
        <v>201705.39797202434</v>
      </c>
      <c r="AX12" s="786">
        <f t="shared" si="4"/>
        <v>18.28923031912322</v>
      </c>
      <c r="AY12" s="379">
        <f t="shared" si="108"/>
        <v>3689036.4801207627</v>
      </c>
      <c r="AZ12" s="51">
        <f t="shared" si="73"/>
        <v>0.10244431982485261</v>
      </c>
      <c r="BA12" s="53">
        <f t="shared" si="5"/>
        <v>3.099726</v>
      </c>
      <c r="BL12" s="756">
        <f t="shared" si="100"/>
        <v>9</v>
      </c>
      <c r="BM12" s="758">
        <f t="shared" si="6"/>
        <v>9</v>
      </c>
      <c r="BN12" s="732" t="s">
        <v>416</v>
      </c>
      <c r="BO12" s="733">
        <f t="shared" si="7"/>
        <v>0.10244431982485261</v>
      </c>
      <c r="BP12" s="379">
        <f t="shared" si="74"/>
        <v>804761.48929948593</v>
      </c>
      <c r="BQ12" s="733">
        <f t="shared" si="8"/>
        <v>5.4137104991259184E-2</v>
      </c>
      <c r="BR12" s="379">
        <f t="shared" si="75"/>
        <v>425279.38409484242</v>
      </c>
      <c r="BS12" s="807">
        <f t="shared" si="9"/>
        <v>1230040.8733943284</v>
      </c>
      <c r="BT12" s="808">
        <f t="shared" si="10"/>
        <v>1.0335460000000001</v>
      </c>
      <c r="BW12" s="1"/>
      <c r="BX12" s="10"/>
      <c r="BY12" s="10"/>
      <c r="BZ12" s="10"/>
      <c r="CA12" s="10"/>
      <c r="CB12" s="10"/>
      <c r="CC12" s="10"/>
      <c r="CD12" s="10"/>
      <c r="CE12" s="10"/>
      <c r="CI12" s="730">
        <f t="shared" si="101"/>
        <v>9</v>
      </c>
      <c r="CJ12" s="746">
        <f t="shared" si="12"/>
        <v>9</v>
      </c>
      <c r="CK12" s="732" t="s">
        <v>416</v>
      </c>
      <c r="CL12" s="733">
        <f t="shared" si="13"/>
        <v>5.4137104991259184E-2</v>
      </c>
      <c r="CM12" s="379">
        <f t="shared" si="14"/>
        <v>289863.0597762831</v>
      </c>
      <c r="CN12" s="733">
        <f t="shared" si="15"/>
        <v>7.7939461573596658E-2</v>
      </c>
      <c r="CO12" s="379">
        <f t="shared" si="16"/>
        <v>1356234.5420299112</v>
      </c>
      <c r="CP12" s="379">
        <f t="shared" si="17"/>
        <v>1646097.6018061943</v>
      </c>
      <c r="CQ12" s="733">
        <f t="shared" si="18"/>
        <v>7.2338869557681887E-2</v>
      </c>
      <c r="CR12" s="808">
        <f t="shared" si="19"/>
        <v>1.3831389999999999</v>
      </c>
      <c r="DD12" s="5">
        <v>5.716652409656231E-2</v>
      </c>
      <c r="DE12" s="1"/>
      <c r="DH12" s="730">
        <v>9</v>
      </c>
      <c r="DI12" s="840">
        <f t="shared" si="20"/>
        <v>9</v>
      </c>
      <c r="DJ12" s="732" t="s">
        <v>416</v>
      </c>
      <c r="DK12" s="733">
        <f t="shared" si="21"/>
        <v>7.2338869557681887E-2</v>
      </c>
      <c r="DL12" s="379">
        <f t="shared" si="77"/>
        <v>22794.620072698555</v>
      </c>
      <c r="DM12" s="733">
        <f t="shared" si="22"/>
        <v>7.7939461573596658E-2</v>
      </c>
      <c r="DN12" s="379">
        <f t="shared" si="23"/>
        <v>151992.38197346326</v>
      </c>
      <c r="DO12" s="733">
        <f t="shared" si="24"/>
        <v>5.4137104991259184E-2</v>
      </c>
      <c r="DP12" s="379">
        <f t="shared" si="25"/>
        <v>175776.66652162341</v>
      </c>
      <c r="DQ12" s="379">
        <f t="shared" si="78"/>
        <v>350563.66856778518</v>
      </c>
      <c r="DR12" s="733">
        <f t="shared" si="26"/>
        <v>6.3598672589868538E-2</v>
      </c>
      <c r="DS12" s="808">
        <f t="shared" si="27"/>
        <v>0.29456199999999999</v>
      </c>
      <c r="DW12" s="730">
        <f t="shared" si="102"/>
        <v>9</v>
      </c>
      <c r="DX12" s="840">
        <f t="shared" si="28"/>
        <v>9</v>
      </c>
      <c r="DY12" s="732" t="s">
        <v>416</v>
      </c>
      <c r="DZ12" s="733">
        <f t="shared" si="29"/>
        <v>7.7939461573596658E-2</v>
      </c>
      <c r="EA12" s="379">
        <f t="shared" si="30"/>
        <v>279591.87568967132</v>
      </c>
      <c r="EB12" s="808">
        <f t="shared" si="31"/>
        <v>0.234928</v>
      </c>
      <c r="EN12" s="730">
        <f t="shared" si="103"/>
        <v>9</v>
      </c>
      <c r="EO12" s="840">
        <f t="shared" si="32"/>
        <v>9</v>
      </c>
      <c r="EP12" s="732" t="s">
        <v>416</v>
      </c>
      <c r="EQ12" s="733">
        <f t="shared" si="33"/>
        <v>8.6093112974379063E-2</v>
      </c>
      <c r="ER12" s="379">
        <f t="shared" si="34"/>
        <v>614625.61115587119</v>
      </c>
      <c r="ES12" s="733">
        <f t="shared" si="35"/>
        <v>7.2338869557681887E-2</v>
      </c>
      <c r="ET12" s="379">
        <f t="shared" si="36"/>
        <v>69629.41975821188</v>
      </c>
      <c r="EU12" s="733">
        <f t="shared" si="37"/>
        <v>5.4137104991259184E-2</v>
      </c>
      <c r="EV12" s="379">
        <f t="shared" si="38"/>
        <v>139609.56796051093</v>
      </c>
      <c r="EW12" s="379">
        <f t="shared" si="39"/>
        <v>823864.59887459408</v>
      </c>
      <c r="EX12" s="733">
        <f t="shared" si="40"/>
        <v>7.7137704048454464E-2</v>
      </c>
      <c r="EY12" s="808">
        <f t="shared" si="41"/>
        <v>0.69225499999999995</v>
      </c>
      <c r="FI12" s="730">
        <f t="shared" si="104"/>
        <v>9</v>
      </c>
      <c r="FJ12" s="731">
        <f t="shared" si="42"/>
        <v>9</v>
      </c>
      <c r="FK12" s="732" t="s">
        <v>416</v>
      </c>
      <c r="FL12" s="733">
        <f t="shared" si="43"/>
        <v>8.6093112974379063E-2</v>
      </c>
      <c r="FM12" s="379">
        <f t="shared" si="44"/>
        <v>1618001.9864900475</v>
      </c>
      <c r="FN12" s="808">
        <f t="shared" si="45"/>
        <v>1.359532</v>
      </c>
      <c r="FR12" s="730">
        <f t="shared" si="105"/>
        <v>9</v>
      </c>
      <c r="FS12" s="731">
        <v>9</v>
      </c>
      <c r="FT12" s="732" t="s">
        <v>416</v>
      </c>
      <c r="FU12" s="379">
        <f t="shared" si="46"/>
        <v>3689036.4801207627</v>
      </c>
      <c r="FV12" s="379">
        <f t="shared" si="47"/>
        <v>1230040.8733943284</v>
      </c>
      <c r="FW12" s="379">
        <f t="shared" si="48"/>
        <v>1646097.6018061943</v>
      </c>
      <c r="FX12" s="379">
        <f t="shared" si="49"/>
        <v>350563.66856778518</v>
      </c>
      <c r="FY12" s="379">
        <f t="shared" si="50"/>
        <v>279591.87568967132</v>
      </c>
      <c r="FZ12" s="379">
        <f t="shared" si="51"/>
        <v>823864.59887459408</v>
      </c>
      <c r="GA12" s="379">
        <f t="shared" si="52"/>
        <v>1618001.9864900475</v>
      </c>
      <c r="GB12" s="379">
        <f t="shared" si="53"/>
        <v>9637197.0849433839</v>
      </c>
      <c r="GC12" s="852">
        <f t="shared" si="54"/>
        <v>8.0976900000000001</v>
      </c>
      <c r="GG12" s="730">
        <f t="shared" si="79"/>
        <v>9</v>
      </c>
      <c r="GH12" s="731">
        <f t="shared" si="55"/>
        <v>9</v>
      </c>
      <c r="GI12" s="732" t="s">
        <v>416</v>
      </c>
      <c r="GJ12" s="808">
        <f t="shared" si="56"/>
        <v>3.099726</v>
      </c>
      <c r="GK12" s="808">
        <f t="shared" si="57"/>
        <v>1.0335460000000001</v>
      </c>
      <c r="GL12" s="808">
        <f t="shared" si="58"/>
        <v>1.3831389999999999</v>
      </c>
      <c r="GM12" s="808">
        <f t="shared" si="59"/>
        <v>0.29456199999999999</v>
      </c>
      <c r="GN12" s="808">
        <f t="shared" si="60"/>
        <v>0.234928</v>
      </c>
      <c r="GO12" s="808">
        <f t="shared" si="61"/>
        <v>0.69225499999999995</v>
      </c>
      <c r="GP12" s="808">
        <f t="shared" si="62"/>
        <v>1.359532</v>
      </c>
      <c r="GQ12" s="808">
        <f t="shared" si="63"/>
        <v>8.0976900000000001</v>
      </c>
      <c r="GR12" s="784">
        <f t="shared" si="80"/>
        <v>119011684.01598203</v>
      </c>
      <c r="GS12" s="716"/>
      <c r="GV12" s="717">
        <f t="shared" si="81"/>
        <v>9</v>
      </c>
      <c r="GW12" s="731">
        <v>9</v>
      </c>
      <c r="GX12" s="732" t="s">
        <v>416</v>
      </c>
      <c r="GY12" s="758" t="s">
        <v>397</v>
      </c>
      <c r="GZ12" s="906">
        <f t="shared" si="82"/>
        <v>9637197.0849433839</v>
      </c>
      <c r="HA12" s="784">
        <f t="shared" si="83"/>
        <v>119011684.01598203</v>
      </c>
      <c r="HB12" s="922">
        <f t="shared" si="109"/>
        <v>8.0976900000000001</v>
      </c>
      <c r="HC12" s="942">
        <f t="shared" si="85"/>
        <v>9637197.2353937756</v>
      </c>
      <c r="HD12" s="857">
        <v>-0.42028257809579372</v>
      </c>
      <c r="HE12" s="54"/>
      <c r="HH12" s="54"/>
      <c r="HI12" s="54"/>
      <c r="HJ12" s="54"/>
      <c r="HK12" s="54"/>
      <c r="HL12" s="54"/>
      <c r="HM12" s="54"/>
      <c r="HN12" s="54"/>
      <c r="HQ12" s="730">
        <v>9</v>
      </c>
      <c r="HR12" s="867">
        <v>9</v>
      </c>
      <c r="HS12" s="732" t="s">
        <v>416</v>
      </c>
      <c r="HT12" s="784">
        <f t="shared" si="86"/>
        <v>119011684.01598203</v>
      </c>
      <c r="HU12" s="917">
        <f t="shared" si="87"/>
        <v>8.0976900000000001</v>
      </c>
      <c r="HV12" s="868"/>
      <c r="HW12" s="765"/>
      <c r="HX12" s="868">
        <v>-1.9628369999999986</v>
      </c>
      <c r="HY12" s="766">
        <v>10</v>
      </c>
      <c r="IP12" s="730">
        <v>9</v>
      </c>
      <c r="IQ12" s="867">
        <v>9</v>
      </c>
      <c r="IR12" s="732" t="s">
        <v>416</v>
      </c>
      <c r="IS12" s="913">
        <f t="shared" si="106"/>
        <v>9637197.2353937756</v>
      </c>
      <c r="IT12" s="915">
        <f t="shared" si="88"/>
        <v>119011684.01598203</v>
      </c>
      <c r="IU12" s="918">
        <f t="shared" si="89"/>
        <v>8.0976900000000001</v>
      </c>
      <c r="IV12" s="904">
        <f t="shared" si="110"/>
        <v>17453176.270618863</v>
      </c>
      <c r="IW12" s="904">
        <f t="shared" si="91"/>
        <v>101558507.74536318</v>
      </c>
      <c r="IX12" s="913">
        <f t="shared" si="111"/>
        <v>261797.64405928293</v>
      </c>
      <c r="IY12" s="881">
        <f t="shared" si="93"/>
        <v>9375399.591334492</v>
      </c>
      <c r="IZ12" s="928">
        <f t="shared" si="112"/>
        <v>7.8777135781689074</v>
      </c>
      <c r="JA12" s="928">
        <f t="shared" si="113"/>
        <v>9.3777135781689083</v>
      </c>
      <c r="JB12" s="913">
        <f t="shared" si="107"/>
        <v>9637197.2353937738</v>
      </c>
      <c r="JC12" s="852">
        <v>0.22223273298532753</v>
      </c>
      <c r="JG12" s="730">
        <v>9</v>
      </c>
      <c r="JH12" s="867">
        <v>9</v>
      </c>
      <c r="JI12" s="732" t="s">
        <v>416</v>
      </c>
      <c r="JJ12" s="784">
        <f t="shared" si="96"/>
        <v>119011684.01598203</v>
      </c>
      <c r="JK12" s="917">
        <f t="shared" si="97"/>
        <v>7.8777135781689074</v>
      </c>
      <c r="JL12" s="868">
        <v>9.8640000000000008</v>
      </c>
      <c r="JM12" s="765"/>
      <c r="JN12" s="868"/>
      <c r="JO12" s="766">
        <v>10</v>
      </c>
      <c r="JT12" s="936">
        <v>15.840565926540259</v>
      </c>
      <c r="JU12" s="936">
        <f t="shared" si="64"/>
        <v>-8.5962651628650022E-2</v>
      </c>
      <c r="JV12" s="13">
        <v>5199119</v>
      </c>
      <c r="JW12" s="13">
        <f t="shared" si="65"/>
        <v>226550.15911638457</v>
      </c>
    </row>
    <row r="13" spans="1:294" x14ac:dyDescent="0.3">
      <c r="B13" s="771">
        <v>10</v>
      </c>
      <c r="C13" s="772" t="s">
        <v>299</v>
      </c>
      <c r="D13" s="907">
        <f>'ABDA 8 month Phase I'!MZ25</f>
        <v>113048749.3950765</v>
      </c>
      <c r="E13" s="773">
        <v>1</v>
      </c>
      <c r="F13" s="774">
        <v>5.1731248696411978</v>
      </c>
      <c r="J13" s="338">
        <v>10</v>
      </c>
      <c r="K13" s="759">
        <v>10</v>
      </c>
      <c r="L13" s="518" t="s">
        <v>417</v>
      </c>
      <c r="M13" s="904">
        <v>5425669.1591163846</v>
      </c>
      <c r="N13" s="943">
        <f t="shared" si="66"/>
        <v>2.4680771753089028E-3</v>
      </c>
      <c r="O13" s="455">
        <v>354.12272108843536</v>
      </c>
      <c r="P13" s="948">
        <f t="shared" si="67"/>
        <v>15321.437558256614</v>
      </c>
      <c r="Q13" s="659">
        <f t="shared" si="68"/>
        <v>8.7560918392140998E-3</v>
      </c>
      <c r="R13" s="322" t="s">
        <v>397</v>
      </c>
      <c r="V13" s="734">
        <f t="shared" si="98"/>
        <v>10</v>
      </c>
      <c r="W13" s="735">
        <f t="shared" si="0"/>
        <v>10</v>
      </c>
      <c r="X13" s="518" t="s">
        <v>417</v>
      </c>
      <c r="Y13" s="924">
        <f t="shared" si="69"/>
        <v>658394.91051171906</v>
      </c>
      <c r="Z13" s="943">
        <f t="shared" si="70"/>
        <v>7.8777851018462866E-3</v>
      </c>
      <c r="AD13" s="734">
        <v>10</v>
      </c>
      <c r="AE13" s="146">
        <v>10</v>
      </c>
      <c r="AF13" s="347" t="s">
        <v>417</v>
      </c>
      <c r="AG13" s="369">
        <v>11.86</v>
      </c>
      <c r="AQ13" s="734">
        <f t="shared" si="71"/>
        <v>10</v>
      </c>
      <c r="AR13" s="787">
        <f t="shared" si="1"/>
        <v>10</v>
      </c>
      <c r="AS13" s="518" t="s">
        <v>417</v>
      </c>
      <c r="AT13" s="518">
        <f t="shared" si="2"/>
        <v>11.86</v>
      </c>
      <c r="AU13" s="788">
        <f t="shared" si="72"/>
        <v>5425669.1591163846</v>
      </c>
      <c r="AV13" s="788">
        <f t="shared" si="99"/>
        <v>17874.565618644534</v>
      </c>
      <c r="AW13" s="789">
        <f t="shared" si="3"/>
        <v>18610.939682279717</v>
      </c>
      <c r="AX13" s="790">
        <f t="shared" si="4"/>
        <v>18.28923031912322</v>
      </c>
      <c r="AY13" s="358">
        <f t="shared" si="108"/>
        <v>340379.76230452367</v>
      </c>
      <c r="AZ13" s="35">
        <f t="shared" si="73"/>
        <v>9.4523254024016703E-3</v>
      </c>
      <c r="BA13" s="55">
        <f t="shared" si="5"/>
        <v>6.2735079999999996</v>
      </c>
      <c r="BL13" s="338">
        <f t="shared" si="100"/>
        <v>10</v>
      </c>
      <c r="BM13" s="322">
        <f t="shared" si="6"/>
        <v>10</v>
      </c>
      <c r="BN13" s="518" t="s">
        <v>417</v>
      </c>
      <c r="BO13" s="659">
        <f t="shared" si="7"/>
        <v>9.4523254024016703E-3</v>
      </c>
      <c r="BP13" s="358">
        <f t="shared" si="74"/>
        <v>74253.677326234087</v>
      </c>
      <c r="BQ13" s="659">
        <f t="shared" si="8"/>
        <v>2.4680771753089028E-3</v>
      </c>
      <c r="BR13" s="358">
        <f t="shared" si="75"/>
        <v>19388.224419894221</v>
      </c>
      <c r="BS13" s="809">
        <f t="shared" si="9"/>
        <v>93641.901746128307</v>
      </c>
      <c r="BT13" s="810">
        <f t="shared" si="10"/>
        <v>1.725905</v>
      </c>
      <c r="BW13" s="1"/>
      <c r="BX13" s="10"/>
      <c r="BY13" s="10"/>
      <c r="BZ13" s="10"/>
      <c r="CA13" s="10"/>
      <c r="CB13" s="10"/>
      <c r="CC13" s="10"/>
      <c r="CD13" s="10"/>
      <c r="CE13" s="10"/>
      <c r="CI13" s="734">
        <f t="shared" si="101"/>
        <v>10</v>
      </c>
      <c r="CJ13" s="146">
        <f t="shared" si="12"/>
        <v>10</v>
      </c>
      <c r="CK13" s="518" t="s">
        <v>417</v>
      </c>
      <c r="CL13" s="344">
        <f t="shared" si="13"/>
        <v>2.4680771753089028E-3</v>
      </c>
      <c r="CM13" s="20">
        <f t="shared" si="14"/>
        <v>13214.677842757781</v>
      </c>
      <c r="CN13" s="344">
        <f t="shared" si="15"/>
        <v>8.7560918392140998E-3</v>
      </c>
      <c r="CO13" s="20">
        <f t="shared" si="16"/>
        <v>152365.87430508176</v>
      </c>
      <c r="CP13" s="20">
        <f t="shared" si="17"/>
        <v>165580.55214783954</v>
      </c>
      <c r="CQ13" s="344">
        <f t="shared" si="18"/>
        <v>7.2765490636573713E-3</v>
      </c>
      <c r="CR13" s="342">
        <f t="shared" si="19"/>
        <v>3.0518000000000001</v>
      </c>
      <c r="DD13" s="5">
        <v>0.23525345484183899</v>
      </c>
      <c r="DE13" s="1"/>
      <c r="DH13" s="734">
        <v>10</v>
      </c>
      <c r="DI13" s="745">
        <f t="shared" si="20"/>
        <v>10</v>
      </c>
      <c r="DJ13" s="518" t="s">
        <v>417</v>
      </c>
      <c r="DK13" s="344">
        <f t="shared" si="21"/>
        <v>7.2765490636573713E-3</v>
      </c>
      <c r="DL13" s="20">
        <f t="shared" si="77"/>
        <v>2292.905216249766</v>
      </c>
      <c r="DM13" s="344">
        <f t="shared" si="22"/>
        <v>8.7560918392140998E-3</v>
      </c>
      <c r="DN13" s="20">
        <f t="shared" si="23"/>
        <v>17075.551056557539</v>
      </c>
      <c r="DO13" s="344">
        <f t="shared" si="24"/>
        <v>2.4680771753089028E-3</v>
      </c>
      <c r="DP13" s="20">
        <f t="shared" si="25"/>
        <v>8013.5496470294866</v>
      </c>
      <c r="DQ13" s="20">
        <f t="shared" si="78"/>
        <v>27382.005919836789</v>
      </c>
      <c r="DR13" s="344">
        <f t="shared" si="26"/>
        <v>4.9675975735426576E-3</v>
      </c>
      <c r="DS13" s="342">
        <f t="shared" si="27"/>
        <v>0.50467499999999998</v>
      </c>
      <c r="DW13" s="734">
        <f t="shared" si="102"/>
        <v>10</v>
      </c>
      <c r="DX13" s="745">
        <f t="shared" si="28"/>
        <v>10</v>
      </c>
      <c r="DY13" s="518" t="s">
        <v>417</v>
      </c>
      <c r="DZ13" s="344">
        <f t="shared" si="29"/>
        <v>8.7560918392140998E-3</v>
      </c>
      <c r="EA13" s="20">
        <f t="shared" si="30"/>
        <v>31410.688393390716</v>
      </c>
      <c r="EB13" s="342">
        <f t="shared" si="31"/>
        <v>0.57892699999999997</v>
      </c>
      <c r="EN13" s="734">
        <f t="shared" si="103"/>
        <v>10</v>
      </c>
      <c r="EO13" s="745">
        <f t="shared" si="32"/>
        <v>10</v>
      </c>
      <c r="EP13" s="518" t="s">
        <v>417</v>
      </c>
      <c r="EQ13" s="344">
        <f t="shared" si="33"/>
        <v>7.8777851018462866E-3</v>
      </c>
      <c r="ER13" s="20">
        <f t="shared" si="34"/>
        <v>56240.137166579349</v>
      </c>
      <c r="ES13" s="344">
        <f t="shared" si="35"/>
        <v>7.2765490636573713E-3</v>
      </c>
      <c r="ET13" s="20">
        <f t="shared" si="36"/>
        <v>7004.0061759690398</v>
      </c>
      <c r="EU13" s="344">
        <f t="shared" si="37"/>
        <v>2.4680771753089028E-3</v>
      </c>
      <c r="EV13" s="20">
        <f t="shared" si="38"/>
        <v>6364.7139645481029</v>
      </c>
      <c r="EW13" s="20">
        <f t="shared" si="39"/>
        <v>69608.857307096492</v>
      </c>
      <c r="EX13" s="344">
        <f t="shared" si="40"/>
        <v>6.5174149264826328E-3</v>
      </c>
      <c r="EY13" s="342">
        <f t="shared" si="41"/>
        <v>1.2829539999999999</v>
      </c>
      <c r="FI13" s="734">
        <f t="shared" si="104"/>
        <v>10</v>
      </c>
      <c r="FJ13" s="735">
        <f t="shared" si="42"/>
        <v>10</v>
      </c>
      <c r="FK13" s="518" t="s">
        <v>417</v>
      </c>
      <c r="FL13" s="344">
        <f t="shared" si="43"/>
        <v>7.8777851018462866E-3</v>
      </c>
      <c r="FM13" s="20">
        <f t="shared" si="44"/>
        <v>148052.1670499036</v>
      </c>
      <c r="FN13" s="342">
        <f t="shared" si="45"/>
        <v>2.7287360000000001</v>
      </c>
      <c r="FR13" s="734">
        <f t="shared" si="105"/>
        <v>10</v>
      </c>
      <c r="FS13" s="735">
        <v>10</v>
      </c>
      <c r="FT13" s="518" t="s">
        <v>417</v>
      </c>
      <c r="FU13" s="20">
        <f t="shared" si="46"/>
        <v>340379.76230452367</v>
      </c>
      <c r="FV13" s="20">
        <f t="shared" si="47"/>
        <v>93641.901746128307</v>
      </c>
      <c r="FW13" s="20">
        <f t="shared" si="48"/>
        <v>165580.55214783954</v>
      </c>
      <c r="FX13" s="20">
        <f t="shared" si="49"/>
        <v>27382.005919836789</v>
      </c>
      <c r="FY13" s="20">
        <f t="shared" si="50"/>
        <v>31410.688393390716</v>
      </c>
      <c r="FZ13" s="20">
        <f t="shared" si="51"/>
        <v>69608.857307096492</v>
      </c>
      <c r="GA13" s="20">
        <f t="shared" si="52"/>
        <v>148052.1670499036</v>
      </c>
      <c r="GB13" s="20">
        <f t="shared" si="53"/>
        <v>876055.9348687192</v>
      </c>
      <c r="GC13" s="414">
        <f t="shared" si="54"/>
        <v>16.146505000000001</v>
      </c>
      <c r="GG13" s="734">
        <f t="shared" si="79"/>
        <v>10</v>
      </c>
      <c r="GH13" s="735">
        <f t="shared" si="55"/>
        <v>10</v>
      </c>
      <c r="GI13" s="518" t="s">
        <v>417</v>
      </c>
      <c r="GJ13" s="342">
        <f t="shared" si="56"/>
        <v>6.2735079999999996</v>
      </c>
      <c r="GK13" s="342">
        <f t="shared" si="57"/>
        <v>1.725905</v>
      </c>
      <c r="GL13" s="342">
        <f t="shared" si="58"/>
        <v>3.0518000000000001</v>
      </c>
      <c r="GM13" s="342">
        <f t="shared" si="59"/>
        <v>0.50467499999999998</v>
      </c>
      <c r="GN13" s="342">
        <f t="shared" si="60"/>
        <v>0.57892699999999997</v>
      </c>
      <c r="GO13" s="342">
        <f t="shared" si="61"/>
        <v>1.2829539999999999</v>
      </c>
      <c r="GP13" s="342">
        <f t="shared" si="62"/>
        <v>2.7287360000000001</v>
      </c>
      <c r="GQ13" s="342">
        <f t="shared" si="63"/>
        <v>16.146505000000001</v>
      </c>
      <c r="GR13" s="788">
        <f t="shared" si="80"/>
        <v>5425669.1591163846</v>
      </c>
      <c r="GS13" s="716"/>
      <c r="GV13" s="718">
        <f t="shared" si="81"/>
        <v>10</v>
      </c>
      <c r="GW13" s="735">
        <v>10</v>
      </c>
      <c r="GX13" s="518" t="s">
        <v>417</v>
      </c>
      <c r="GY13" s="322" t="s">
        <v>397</v>
      </c>
      <c r="GZ13" s="924">
        <f t="shared" si="82"/>
        <v>876055.9348687192</v>
      </c>
      <c r="HA13" s="788">
        <f t="shared" si="83"/>
        <v>5425669.1591163846</v>
      </c>
      <c r="HB13" s="922">
        <f t="shared" si="109"/>
        <v>16.146505000000001</v>
      </c>
      <c r="HC13" s="942">
        <f t="shared" si="85"/>
        <v>876055.94206018513</v>
      </c>
      <c r="HD13" s="858">
        <v>2.150618308223784E-2</v>
      </c>
      <c r="HE13" s="54"/>
      <c r="HH13" s="54"/>
      <c r="HI13" s="54"/>
      <c r="HJ13" s="54"/>
      <c r="HK13" s="54"/>
      <c r="HL13" s="54"/>
      <c r="HM13" s="54"/>
      <c r="HN13" s="54"/>
      <c r="HQ13" s="734">
        <v>10</v>
      </c>
      <c r="HR13" s="869">
        <v>10</v>
      </c>
      <c r="HS13" s="518" t="s">
        <v>417</v>
      </c>
      <c r="HT13" s="788">
        <f t="shared" si="86"/>
        <v>5425669.1591163846</v>
      </c>
      <c r="HU13" s="917">
        <f t="shared" si="87"/>
        <v>16.146505000000001</v>
      </c>
      <c r="HV13" s="870"/>
      <c r="HW13" s="768"/>
      <c r="HX13" s="870">
        <v>-3.6744649999999979</v>
      </c>
      <c r="HY13" s="769">
        <v>25</v>
      </c>
      <c r="IP13" s="734">
        <v>10</v>
      </c>
      <c r="IQ13" s="869">
        <v>10</v>
      </c>
      <c r="IR13" s="518" t="s">
        <v>417</v>
      </c>
      <c r="IS13" s="913">
        <f t="shared" si="106"/>
        <v>876055.94206018513</v>
      </c>
      <c r="IT13" s="915">
        <f t="shared" si="88"/>
        <v>5425669.1591163846</v>
      </c>
      <c r="IU13" s="919">
        <f t="shared" si="89"/>
        <v>16.146505000000001</v>
      </c>
      <c r="IV13" s="904">
        <f t="shared" si="110"/>
        <v>795679.52510782133</v>
      </c>
      <c r="IW13" s="904">
        <f t="shared" si="91"/>
        <v>4629989.6340085631</v>
      </c>
      <c r="IX13" s="913">
        <f t="shared" si="111"/>
        <v>11935.192876617319</v>
      </c>
      <c r="IY13" s="882">
        <f t="shared" si="93"/>
        <v>864120.74918356782</v>
      </c>
      <c r="IZ13" s="928">
        <f t="shared" si="112"/>
        <v>15.926528578168909</v>
      </c>
      <c r="JA13" s="928">
        <f t="shared" si="113"/>
        <v>17.426528578168909</v>
      </c>
      <c r="JB13" s="913">
        <f t="shared" si="107"/>
        <v>876055.94206018513</v>
      </c>
      <c r="JC13" s="883">
        <v>0.22223348250775032</v>
      </c>
      <c r="JG13" s="734">
        <v>10</v>
      </c>
      <c r="JH13" s="869">
        <v>10</v>
      </c>
      <c r="JI13" s="518" t="s">
        <v>417</v>
      </c>
      <c r="JJ13" s="788">
        <f t="shared" si="96"/>
        <v>5425669.1591163846</v>
      </c>
      <c r="JK13" s="917">
        <f t="shared" si="97"/>
        <v>15.926528578168909</v>
      </c>
      <c r="JL13" s="870">
        <v>19.646999999999998</v>
      </c>
      <c r="JM13" s="768"/>
      <c r="JN13" s="870"/>
      <c r="JO13" s="769">
        <v>25</v>
      </c>
      <c r="JT13" s="936">
        <v>15.999447926540256</v>
      </c>
      <c r="JU13" s="936">
        <f t="shared" si="64"/>
        <v>-9.3630651628650696E-2</v>
      </c>
      <c r="JV13" s="13">
        <v>53040850</v>
      </c>
      <c r="JW13" s="13">
        <f t="shared" si="65"/>
        <v>-2944855.8807284683</v>
      </c>
    </row>
    <row r="14" spans="1:294" x14ac:dyDescent="0.3">
      <c r="D14" s="13"/>
      <c r="F14" s="696"/>
      <c r="J14" s="756">
        <v>11</v>
      </c>
      <c r="K14" s="757">
        <v>11</v>
      </c>
      <c r="L14" s="732" t="s">
        <v>418</v>
      </c>
      <c r="M14" s="904">
        <v>50095994.119271532</v>
      </c>
      <c r="N14" s="944">
        <f t="shared" si="66"/>
        <v>2.278811627362827E-2</v>
      </c>
      <c r="O14" s="753">
        <v>247.62580071362774</v>
      </c>
      <c r="P14" s="948">
        <f t="shared" si="67"/>
        <v>202305.22819068492</v>
      </c>
      <c r="Q14" s="733">
        <f t="shared" si="68"/>
        <v>0.11561598909080213</v>
      </c>
      <c r="R14" s="758" t="s">
        <v>397</v>
      </c>
      <c r="V14" s="730">
        <f t="shared" si="98"/>
        <v>11</v>
      </c>
      <c r="W14" s="731">
        <f t="shared" si="0"/>
        <v>11</v>
      </c>
      <c r="X14" s="732" t="s">
        <v>418</v>
      </c>
      <c r="Y14" s="924">
        <f t="shared" si="69"/>
        <v>6123200.9656465547</v>
      </c>
      <c r="Z14" s="944">
        <f t="shared" si="70"/>
        <v>7.3264936548932555E-2</v>
      </c>
      <c r="AD14" s="730">
        <v>11</v>
      </c>
      <c r="AE14" s="746">
        <v>11</v>
      </c>
      <c r="AF14" s="747" t="s">
        <v>418</v>
      </c>
      <c r="AG14" s="748">
        <v>9.5</v>
      </c>
      <c r="AQ14" s="730">
        <f t="shared" si="71"/>
        <v>11</v>
      </c>
      <c r="AR14" s="783">
        <f t="shared" si="1"/>
        <v>11</v>
      </c>
      <c r="AS14" s="732" t="s">
        <v>418</v>
      </c>
      <c r="AT14" s="732">
        <f t="shared" si="2"/>
        <v>9.5</v>
      </c>
      <c r="AU14" s="784">
        <f t="shared" si="72"/>
        <v>50095994.119271532</v>
      </c>
      <c r="AV14" s="784">
        <f>AU14*AT14/3600</f>
        <v>132197.76225918875</v>
      </c>
      <c r="AW14" s="785">
        <f>AV14*$AM$5/$AV$28</f>
        <v>137643.88080971377</v>
      </c>
      <c r="AX14" s="786">
        <f t="shared" si="4"/>
        <v>18.28923031912322</v>
      </c>
      <c r="AY14" s="379">
        <f t="shared" si="108"/>
        <v>2517400.6381468</v>
      </c>
      <c r="AZ14" s="51">
        <f t="shared" si="73"/>
        <v>6.9908063390350786E-2</v>
      </c>
      <c r="BA14" s="53">
        <f t="shared" si="5"/>
        <v>5.0251539999999997</v>
      </c>
      <c r="BL14" s="756">
        <f t="shared" si="100"/>
        <v>11</v>
      </c>
      <c r="BM14" s="758">
        <f t="shared" si="6"/>
        <v>11</v>
      </c>
      <c r="BN14" s="732" t="s">
        <v>418</v>
      </c>
      <c r="BO14" s="733">
        <f t="shared" si="7"/>
        <v>6.9908063390350786E-2</v>
      </c>
      <c r="BP14" s="379">
        <f t="shared" si="74"/>
        <v>549169.70803503029</v>
      </c>
      <c r="BQ14" s="733">
        <f t="shared" si="8"/>
        <v>2.278811627362827E-2</v>
      </c>
      <c r="BR14" s="379">
        <f t="shared" si="75"/>
        <v>179014.30183780639</v>
      </c>
      <c r="BS14" s="807">
        <f t="shared" si="9"/>
        <v>728184.00987283664</v>
      </c>
      <c r="BT14" s="808">
        <f t="shared" si="10"/>
        <v>1.4535769999999999</v>
      </c>
      <c r="BW14" s="1"/>
      <c r="BX14" s="10"/>
      <c r="BY14" s="10"/>
      <c r="BZ14" s="10"/>
      <c r="CA14" s="10"/>
      <c r="CB14" s="10"/>
      <c r="CC14" s="10"/>
      <c r="CD14" s="10"/>
      <c r="CE14" s="10"/>
      <c r="CI14" s="730">
        <f t="shared" si="101"/>
        <v>11</v>
      </c>
      <c r="CJ14" s="746">
        <f t="shared" si="12"/>
        <v>11</v>
      </c>
      <c r="CK14" s="732" t="s">
        <v>418</v>
      </c>
      <c r="CL14" s="733">
        <f t="shared" si="13"/>
        <v>2.278811627362827E-2</v>
      </c>
      <c r="CM14" s="379">
        <f t="shared" si="14"/>
        <v>122013.04651732105</v>
      </c>
      <c r="CN14" s="733">
        <f t="shared" si="15"/>
        <v>0.11561598909080213</v>
      </c>
      <c r="CO14" s="379">
        <f t="shared" si="16"/>
        <v>2011848.6175046759</v>
      </c>
      <c r="CP14" s="379">
        <f t="shared" si="17"/>
        <v>2133861.6640219968</v>
      </c>
      <c r="CQ14" s="733">
        <f t="shared" si="18"/>
        <v>9.377399031409267E-2</v>
      </c>
      <c r="CR14" s="808">
        <f t="shared" si="19"/>
        <v>4.2595460000000003</v>
      </c>
      <c r="DE14" s="1"/>
      <c r="DH14" s="730">
        <v>11</v>
      </c>
      <c r="DI14" s="840">
        <f t="shared" si="20"/>
        <v>11</v>
      </c>
      <c r="DJ14" s="732" t="s">
        <v>418</v>
      </c>
      <c r="DK14" s="733">
        <f t="shared" si="21"/>
        <v>9.377399031409267E-2</v>
      </c>
      <c r="DL14" s="379">
        <f t="shared" si="77"/>
        <v>29549.016939035984</v>
      </c>
      <c r="DM14" s="733">
        <f t="shared" si="22"/>
        <v>0.11561598909080213</v>
      </c>
      <c r="DN14" s="379">
        <f t="shared" si="23"/>
        <v>225466.65349407587</v>
      </c>
      <c r="DO14" s="733">
        <f t="shared" si="24"/>
        <v>2.278811627362827E-2</v>
      </c>
      <c r="DP14" s="379">
        <f t="shared" si="25"/>
        <v>73990.271839106863</v>
      </c>
      <c r="DQ14" s="379">
        <f t="shared" si="78"/>
        <v>329005.94227221876</v>
      </c>
      <c r="DR14" s="733">
        <f t="shared" si="26"/>
        <v>5.9687706054017658E-2</v>
      </c>
      <c r="DS14" s="808">
        <f t="shared" si="27"/>
        <v>0.65675099999999997</v>
      </c>
      <c r="DW14" s="730">
        <f t="shared" si="102"/>
        <v>11</v>
      </c>
      <c r="DX14" s="840">
        <f t="shared" si="28"/>
        <v>11</v>
      </c>
      <c r="DY14" s="732" t="s">
        <v>418</v>
      </c>
      <c r="DZ14" s="733">
        <f t="shared" si="29"/>
        <v>0.11561598909080213</v>
      </c>
      <c r="EA14" s="379">
        <f t="shared" si="30"/>
        <v>414748.71133270313</v>
      </c>
      <c r="EB14" s="808">
        <f t="shared" si="31"/>
        <v>0.82790799999999998</v>
      </c>
      <c r="EN14" s="730">
        <f t="shared" si="103"/>
        <v>11</v>
      </c>
      <c r="EO14" s="840">
        <f t="shared" si="32"/>
        <v>11</v>
      </c>
      <c r="EP14" s="732" t="s">
        <v>418</v>
      </c>
      <c r="EQ14" s="733">
        <f t="shared" si="33"/>
        <v>7.3264936548932555E-2</v>
      </c>
      <c r="ER14" s="379">
        <f t="shared" si="34"/>
        <v>523044.23486330057</v>
      </c>
      <c r="ES14" s="733">
        <f t="shared" si="35"/>
        <v>9.377399031409267E-2</v>
      </c>
      <c r="ET14" s="379">
        <f t="shared" si="36"/>
        <v>90261.68882520328</v>
      </c>
      <c r="EU14" s="733">
        <f t="shared" si="37"/>
        <v>2.278811627362827E-2</v>
      </c>
      <c r="EV14" s="379">
        <f t="shared" si="38"/>
        <v>58766.331670465144</v>
      </c>
      <c r="EW14" s="379">
        <f t="shared" si="39"/>
        <v>672072.25535896909</v>
      </c>
      <c r="EX14" s="733">
        <f t="shared" si="40"/>
        <v>6.2925522960780481E-2</v>
      </c>
      <c r="EY14" s="808">
        <f t="shared" si="41"/>
        <v>1.341569</v>
      </c>
      <c r="FI14" s="730">
        <f t="shared" si="104"/>
        <v>11</v>
      </c>
      <c r="FJ14" s="731">
        <f t="shared" si="42"/>
        <v>11</v>
      </c>
      <c r="FK14" s="732" t="s">
        <v>418</v>
      </c>
      <c r="FL14" s="733">
        <f t="shared" si="43"/>
        <v>7.3264936548932555E-2</v>
      </c>
      <c r="FM14" s="379">
        <f t="shared" si="44"/>
        <v>1376914.0036964163</v>
      </c>
      <c r="FN14" s="808">
        <f t="shared" si="45"/>
        <v>2.748551</v>
      </c>
      <c r="FR14" s="730">
        <f t="shared" si="105"/>
        <v>11</v>
      </c>
      <c r="FS14" s="731">
        <v>11</v>
      </c>
      <c r="FT14" s="732" t="s">
        <v>418</v>
      </c>
      <c r="FU14" s="379">
        <f t="shared" si="46"/>
        <v>2517400.6381468</v>
      </c>
      <c r="FV14" s="379">
        <f t="shared" si="47"/>
        <v>728184.00987283664</v>
      </c>
      <c r="FW14" s="379">
        <f t="shared" si="48"/>
        <v>2133861.6640219968</v>
      </c>
      <c r="FX14" s="379">
        <f t="shared" si="49"/>
        <v>329005.94227221876</v>
      </c>
      <c r="FY14" s="379">
        <f t="shared" si="50"/>
        <v>414748.71133270313</v>
      </c>
      <c r="FZ14" s="379">
        <f t="shared" si="51"/>
        <v>672072.25535896909</v>
      </c>
      <c r="GA14" s="379">
        <f t="shared" si="52"/>
        <v>1376914.0036964163</v>
      </c>
      <c r="GB14" s="379">
        <f t="shared" si="53"/>
        <v>8172187.2247019401</v>
      </c>
      <c r="GC14" s="852">
        <f t="shared" si="54"/>
        <v>16.313054999999999</v>
      </c>
      <c r="GG14" s="730">
        <f t="shared" si="79"/>
        <v>11</v>
      </c>
      <c r="GH14" s="731">
        <f t="shared" si="55"/>
        <v>11</v>
      </c>
      <c r="GI14" s="732" t="s">
        <v>418</v>
      </c>
      <c r="GJ14" s="808">
        <f t="shared" si="56"/>
        <v>5.0251539999999997</v>
      </c>
      <c r="GK14" s="808">
        <f t="shared" si="57"/>
        <v>1.4535769999999999</v>
      </c>
      <c r="GL14" s="808">
        <f t="shared" si="58"/>
        <v>4.2595460000000003</v>
      </c>
      <c r="GM14" s="808">
        <f t="shared" si="59"/>
        <v>0.65675099999999997</v>
      </c>
      <c r="GN14" s="808">
        <f t="shared" si="60"/>
        <v>0.82790799999999998</v>
      </c>
      <c r="GO14" s="808">
        <f t="shared" si="61"/>
        <v>1.341569</v>
      </c>
      <c r="GP14" s="808">
        <f t="shared" si="62"/>
        <v>2.748551</v>
      </c>
      <c r="GQ14" s="808">
        <f t="shared" si="63"/>
        <v>16.313054999999999</v>
      </c>
      <c r="GR14" s="784">
        <f t="shared" si="80"/>
        <v>50095994.119271532</v>
      </c>
      <c r="GS14" s="716"/>
      <c r="GV14" s="717">
        <f t="shared" si="81"/>
        <v>11</v>
      </c>
      <c r="GW14" s="731">
        <v>11</v>
      </c>
      <c r="GX14" s="732" t="s">
        <v>418</v>
      </c>
      <c r="GY14" s="758" t="s">
        <v>397</v>
      </c>
      <c r="GZ14" s="906">
        <f t="shared" si="82"/>
        <v>8172187.2247019401</v>
      </c>
      <c r="HA14" s="784">
        <f t="shared" si="83"/>
        <v>50095994.119271532</v>
      </c>
      <c r="HB14" s="922">
        <f t="shared" si="109"/>
        <v>16.313054999999999</v>
      </c>
      <c r="HC14" s="942">
        <f t="shared" si="85"/>
        <v>8172187.0734735299</v>
      </c>
      <c r="HD14" s="857">
        <v>0.22434761747717857</v>
      </c>
      <c r="HE14" s="54"/>
      <c r="HH14" s="54"/>
      <c r="HI14" s="54"/>
      <c r="HJ14" s="54"/>
      <c r="HK14" s="54"/>
      <c r="HL14" s="54"/>
      <c r="HM14" s="54"/>
      <c r="HN14" s="54"/>
      <c r="HQ14" s="730">
        <v>11</v>
      </c>
      <c r="HR14" s="867">
        <v>11</v>
      </c>
      <c r="HS14" s="732" t="s">
        <v>418</v>
      </c>
      <c r="HT14" s="784">
        <f t="shared" si="86"/>
        <v>50095994.119271532</v>
      </c>
      <c r="HU14" s="917">
        <f t="shared" si="87"/>
        <v>16.313054999999999</v>
      </c>
      <c r="HV14" s="868"/>
      <c r="HW14" s="765"/>
      <c r="HX14" s="868">
        <v>-2.816278999999998</v>
      </c>
      <c r="HY14" s="766">
        <v>25</v>
      </c>
      <c r="IP14" s="730">
        <v>11</v>
      </c>
      <c r="IQ14" s="867">
        <v>11</v>
      </c>
      <c r="IR14" s="732" t="s">
        <v>418</v>
      </c>
      <c r="IS14" s="913">
        <f t="shared" si="106"/>
        <v>8172187.0734735299</v>
      </c>
      <c r="IT14" s="915">
        <f t="shared" si="88"/>
        <v>50095994.119271532</v>
      </c>
      <c r="IU14" s="918">
        <f t="shared" si="89"/>
        <v>16.313054999999999</v>
      </c>
      <c r="IV14" s="904">
        <f t="shared" si="110"/>
        <v>7346625.0229525194</v>
      </c>
      <c r="IW14" s="904">
        <f t="shared" si="91"/>
        <v>42749369.096319012</v>
      </c>
      <c r="IX14" s="913">
        <f t="shared" si="111"/>
        <v>110199.37534428779</v>
      </c>
      <c r="IY14" s="881">
        <f t="shared" si="93"/>
        <v>8061987.6981292423</v>
      </c>
      <c r="IZ14" s="928">
        <f t="shared" si="112"/>
        <v>16.093078578168907</v>
      </c>
      <c r="JA14" s="928">
        <f t="shared" si="113"/>
        <v>17.593078578168907</v>
      </c>
      <c r="JB14" s="913">
        <f t="shared" si="107"/>
        <v>8172187.0734735299</v>
      </c>
      <c r="JC14" s="852">
        <v>0.22223353508375254</v>
      </c>
      <c r="JG14" s="730">
        <v>11</v>
      </c>
      <c r="JH14" s="867">
        <v>11</v>
      </c>
      <c r="JI14" s="732" t="s">
        <v>418</v>
      </c>
      <c r="JJ14" s="784">
        <f t="shared" si="96"/>
        <v>50095994.119271532</v>
      </c>
      <c r="JK14" s="917">
        <f t="shared" si="97"/>
        <v>16.093078578168907</v>
      </c>
      <c r="JL14" s="868">
        <v>18.966000000000001</v>
      </c>
      <c r="JM14" s="765"/>
      <c r="JN14" s="868"/>
      <c r="JO14" s="766">
        <v>25</v>
      </c>
      <c r="JT14" s="936">
        <v>6.4202430000000001</v>
      </c>
      <c r="JU14" s="936">
        <f t="shared" si="64"/>
        <v>-2.9596999999999873E-2</v>
      </c>
      <c r="JV14" s="13">
        <v>29240088</v>
      </c>
      <c r="JW14" s="13">
        <f t="shared" si="65"/>
        <v>888574.20600384846</v>
      </c>
    </row>
    <row r="15" spans="1:294" x14ac:dyDescent="0.3">
      <c r="J15" s="338">
        <v>12</v>
      </c>
      <c r="K15" s="759">
        <v>12</v>
      </c>
      <c r="L15" s="518" t="s">
        <v>419</v>
      </c>
      <c r="M15" s="904">
        <v>30128662.206003848</v>
      </c>
      <c r="N15" s="943">
        <f t="shared" si="66"/>
        <v>1.3705196784490302E-2</v>
      </c>
      <c r="O15" s="455">
        <v>1630.8000000000002</v>
      </c>
      <c r="P15" s="948">
        <f t="shared" si="67"/>
        <v>18474.774470201035</v>
      </c>
      <c r="Q15" s="659">
        <f t="shared" si="68"/>
        <v>1.055820130159218E-2</v>
      </c>
      <c r="R15" s="322" t="s">
        <v>402</v>
      </c>
      <c r="V15" s="734">
        <f t="shared" si="98"/>
        <v>12</v>
      </c>
      <c r="W15" s="735">
        <f t="shared" si="0"/>
        <v>12</v>
      </c>
      <c r="X15" s="518" t="s">
        <v>419</v>
      </c>
      <c r="Y15" s="924">
        <f t="shared" si="69"/>
        <v>1447797.0875936537</v>
      </c>
      <c r="Z15" s="943">
        <f t="shared" si="70"/>
        <v>1.7323090055901515E-2</v>
      </c>
      <c r="AD15" s="734">
        <v>12</v>
      </c>
      <c r="AE15" s="146">
        <v>12</v>
      </c>
      <c r="AF15" s="347" t="s">
        <v>419</v>
      </c>
      <c r="AG15" s="369">
        <v>5.03</v>
      </c>
      <c r="AQ15" s="734">
        <f t="shared" si="71"/>
        <v>12</v>
      </c>
      <c r="AR15" s="787">
        <f t="shared" si="1"/>
        <v>12</v>
      </c>
      <c r="AS15" s="518" t="s">
        <v>419</v>
      </c>
      <c r="AT15" s="518">
        <f t="shared" si="2"/>
        <v>5.03</v>
      </c>
      <c r="AU15" s="788">
        <f t="shared" si="72"/>
        <v>30128662.206003848</v>
      </c>
      <c r="AV15" s="788">
        <f t="shared" si="99"/>
        <v>42096.436360055384</v>
      </c>
      <c r="AW15" s="789">
        <f t="shared" si="3"/>
        <v>43830.672848279741</v>
      </c>
      <c r="AX15" s="790">
        <f t="shared" si="4"/>
        <v>18.28923031912322</v>
      </c>
      <c r="AY15" s="358">
        <f t="shared" si="108"/>
        <v>801629.27076432877</v>
      </c>
      <c r="AZ15" s="35">
        <f t="shared" si="73"/>
        <v>2.2261196341559611E-2</v>
      </c>
      <c r="BA15" s="55">
        <f t="shared" si="5"/>
        <v>2.6606869999999998</v>
      </c>
      <c r="BL15" s="338">
        <f t="shared" si="100"/>
        <v>12</v>
      </c>
      <c r="BM15" s="322">
        <f t="shared" si="6"/>
        <v>12</v>
      </c>
      <c r="BN15" s="518" t="s">
        <v>419</v>
      </c>
      <c r="BO15" s="659">
        <f t="shared" si="7"/>
        <v>2.2261196341559611E-2</v>
      </c>
      <c r="BP15" s="358">
        <f t="shared" si="74"/>
        <v>174875.030182744</v>
      </c>
      <c r="BQ15" s="659">
        <f t="shared" si="8"/>
        <v>1.3705196784490302E-2</v>
      </c>
      <c r="BR15" s="358">
        <f t="shared" si="75"/>
        <v>107662.52920889857</v>
      </c>
      <c r="BS15" s="809">
        <f t="shared" si="9"/>
        <v>282537.55939164257</v>
      </c>
      <c r="BT15" s="810">
        <f t="shared" si="10"/>
        <v>0.93776999999999999</v>
      </c>
      <c r="BW15" s="1"/>
      <c r="BX15" s="10"/>
      <c r="BY15" s="10"/>
      <c r="BZ15" s="10"/>
      <c r="CA15" s="10"/>
      <c r="CB15" s="10"/>
      <c r="CC15" s="10"/>
      <c r="CD15" s="10"/>
      <c r="CE15" s="10"/>
      <c r="CI15" s="734">
        <f t="shared" si="101"/>
        <v>12</v>
      </c>
      <c r="CJ15" s="146">
        <f t="shared" si="12"/>
        <v>12</v>
      </c>
      <c r="CK15" s="518" t="s">
        <v>419</v>
      </c>
      <c r="CL15" s="344">
        <f t="shared" si="13"/>
        <v>1.3705196784490302E-2</v>
      </c>
      <c r="CM15" s="20">
        <f t="shared" si="14"/>
        <v>73380.914539664518</v>
      </c>
      <c r="CN15" s="344">
        <f t="shared" si="15"/>
        <v>1.055820130159218E-2</v>
      </c>
      <c r="CO15" s="20">
        <f t="shared" si="16"/>
        <v>183724.61161286011</v>
      </c>
      <c r="CP15" s="20">
        <f t="shared" si="17"/>
        <v>257105.52615252463</v>
      </c>
      <c r="CQ15" s="344">
        <f t="shared" si="18"/>
        <v>1.1298675788421685E-2</v>
      </c>
      <c r="CR15" s="342">
        <f t="shared" si="19"/>
        <v>0.85335899999999998</v>
      </c>
      <c r="DE15" s="1"/>
      <c r="DH15" s="734">
        <v>12</v>
      </c>
      <c r="DI15" s="745">
        <f t="shared" si="20"/>
        <v>12</v>
      </c>
      <c r="DJ15" s="518" t="s">
        <v>419</v>
      </c>
      <c r="DK15" s="344">
        <f t="shared" si="21"/>
        <v>1.1298675788421685E-2</v>
      </c>
      <c r="DL15" s="20">
        <f t="shared" si="77"/>
        <v>3560.3130584768751</v>
      </c>
      <c r="DM15" s="344">
        <f t="shared" si="22"/>
        <v>1.055820130159218E-2</v>
      </c>
      <c r="DN15" s="20">
        <f t="shared" si="23"/>
        <v>20589.905713795153</v>
      </c>
      <c r="DO15" s="344">
        <f t="shared" si="24"/>
        <v>1.3705196784490302E-2</v>
      </c>
      <c r="DP15" s="20">
        <f t="shared" si="25"/>
        <v>44499.125049068214</v>
      </c>
      <c r="DQ15" s="20">
        <f t="shared" si="78"/>
        <v>68649.343821340241</v>
      </c>
      <c r="DR15" s="344">
        <f t="shared" si="26"/>
        <v>1.2454248778944757E-2</v>
      </c>
      <c r="DS15" s="342">
        <f t="shared" si="27"/>
        <v>0.227854</v>
      </c>
      <c r="DW15" s="734">
        <f t="shared" si="102"/>
        <v>12</v>
      </c>
      <c r="DX15" s="745">
        <f t="shared" si="28"/>
        <v>12</v>
      </c>
      <c r="DY15" s="518" t="s">
        <v>419</v>
      </c>
      <c r="DZ15" s="344">
        <f t="shared" si="29"/>
        <v>1.055820130159218E-2</v>
      </c>
      <c r="EA15" s="20">
        <f t="shared" si="30"/>
        <v>37875.387463817475</v>
      </c>
      <c r="EB15" s="342">
        <f t="shared" si="31"/>
        <v>0.12571199999999999</v>
      </c>
      <c r="EN15" s="734">
        <f t="shared" si="103"/>
        <v>12</v>
      </c>
      <c r="EO15" s="745">
        <f t="shared" si="32"/>
        <v>12</v>
      </c>
      <c r="EP15" s="518" t="s">
        <v>419</v>
      </c>
      <c r="EQ15" s="344">
        <f t="shared" si="33"/>
        <v>1.7323090055901515E-2</v>
      </c>
      <c r="ER15" s="20">
        <f t="shared" si="34"/>
        <v>123670.9237809211</v>
      </c>
      <c r="ES15" s="344">
        <f t="shared" si="35"/>
        <v>1.1298675788421685E-2</v>
      </c>
      <c r="ET15" s="20">
        <f t="shared" si="36"/>
        <v>10875.484286585935</v>
      </c>
      <c r="EU15" s="344">
        <f t="shared" si="37"/>
        <v>1.3705196784490302E-2</v>
      </c>
      <c r="EV15" s="20">
        <f t="shared" si="38"/>
        <v>35343.164400929876</v>
      </c>
      <c r="EW15" s="20">
        <f t="shared" si="39"/>
        <v>169889.57246843691</v>
      </c>
      <c r="EX15" s="344">
        <f t="shared" si="40"/>
        <v>1.5906608415861216E-2</v>
      </c>
      <c r="EY15" s="342">
        <f t="shared" si="41"/>
        <v>0.56388000000000005</v>
      </c>
      <c r="FI15" s="734">
        <f t="shared" si="104"/>
        <v>12</v>
      </c>
      <c r="FJ15" s="735">
        <f t="shared" si="42"/>
        <v>12</v>
      </c>
      <c r="FK15" s="518" t="s">
        <v>419</v>
      </c>
      <c r="FL15" s="344">
        <f t="shared" si="43"/>
        <v>1.7323090055901515E-2</v>
      </c>
      <c r="FM15" s="20">
        <f t="shared" si="44"/>
        <v>325563.71995673899</v>
      </c>
      <c r="FN15" s="342">
        <f t="shared" si="45"/>
        <v>1.080578</v>
      </c>
      <c r="FR15" s="734">
        <f t="shared" si="105"/>
        <v>12</v>
      </c>
      <c r="FS15" s="735">
        <v>12</v>
      </c>
      <c r="FT15" s="518" t="s">
        <v>419</v>
      </c>
      <c r="FU15" s="20">
        <f t="shared" si="46"/>
        <v>801629.27076432877</v>
      </c>
      <c r="FV15" s="20">
        <f t="shared" si="47"/>
        <v>282537.55939164257</v>
      </c>
      <c r="FW15" s="20">
        <f t="shared" si="48"/>
        <v>257105.52615252463</v>
      </c>
      <c r="FX15" s="20">
        <f t="shared" si="49"/>
        <v>68649.343821340241</v>
      </c>
      <c r="FY15" s="20">
        <f t="shared" si="50"/>
        <v>37875.387463817475</v>
      </c>
      <c r="FZ15" s="20">
        <f t="shared" si="51"/>
        <v>169889.57246843691</v>
      </c>
      <c r="GA15" s="20">
        <f t="shared" si="52"/>
        <v>325563.71995673899</v>
      </c>
      <c r="GB15" s="20">
        <f t="shared" si="53"/>
        <v>1943250.3800188294</v>
      </c>
      <c r="GC15" s="414">
        <f t="shared" si="54"/>
        <v>6.44984</v>
      </c>
      <c r="GG15" s="734">
        <f t="shared" si="79"/>
        <v>12</v>
      </c>
      <c r="GH15" s="735">
        <f t="shared" si="55"/>
        <v>12</v>
      </c>
      <c r="GI15" s="518" t="s">
        <v>419</v>
      </c>
      <c r="GJ15" s="342">
        <f t="shared" si="56"/>
        <v>2.6606869999999998</v>
      </c>
      <c r="GK15" s="342">
        <f t="shared" si="57"/>
        <v>0.93776999999999999</v>
      </c>
      <c r="GL15" s="342">
        <f t="shared" si="58"/>
        <v>0.85335899999999998</v>
      </c>
      <c r="GM15" s="342">
        <f t="shared" si="59"/>
        <v>0.227854</v>
      </c>
      <c r="GN15" s="342">
        <f t="shared" si="60"/>
        <v>0.12571199999999999</v>
      </c>
      <c r="GO15" s="342">
        <f t="shared" si="61"/>
        <v>0.56388000000000005</v>
      </c>
      <c r="GP15" s="342">
        <f t="shared" si="62"/>
        <v>1.080578</v>
      </c>
      <c r="GQ15" s="342">
        <f t="shared" si="63"/>
        <v>6.44984</v>
      </c>
      <c r="GR15" s="788">
        <f t="shared" si="80"/>
        <v>30128662.206003848</v>
      </c>
      <c r="GS15" s="716"/>
      <c r="GV15" s="718">
        <f t="shared" si="81"/>
        <v>12</v>
      </c>
      <c r="GW15" s="735">
        <v>12</v>
      </c>
      <c r="GX15" s="518" t="s">
        <v>419</v>
      </c>
      <c r="GY15" s="322" t="s">
        <v>402</v>
      </c>
      <c r="GZ15" s="924">
        <f t="shared" si="82"/>
        <v>1943250.3800188294</v>
      </c>
      <c r="HA15" s="788">
        <f t="shared" si="83"/>
        <v>30128662.206003848</v>
      </c>
      <c r="HB15" s="922">
        <f t="shared" si="109"/>
        <v>6.44984</v>
      </c>
      <c r="HC15" s="942">
        <f t="shared" si="85"/>
        <v>1943250.5064277188</v>
      </c>
      <c r="HD15" s="858">
        <v>0.12119537964463234</v>
      </c>
      <c r="HE15" s="54"/>
      <c r="HH15" s="54"/>
      <c r="HI15" s="54"/>
      <c r="HJ15" s="54"/>
      <c r="HK15" s="54"/>
      <c r="HL15" s="54"/>
      <c r="HM15" s="54"/>
      <c r="HN15" s="54"/>
      <c r="HQ15" s="734">
        <v>12</v>
      </c>
      <c r="HR15" s="869">
        <v>12</v>
      </c>
      <c r="HS15" s="518" t="s">
        <v>419</v>
      </c>
      <c r="HT15" s="788">
        <f t="shared" si="86"/>
        <v>30128662.206003848</v>
      </c>
      <c r="HU15" s="917">
        <f t="shared" si="87"/>
        <v>6.44984</v>
      </c>
      <c r="HV15" s="870"/>
      <c r="HW15" s="768"/>
      <c r="HX15" s="870">
        <v>-1.7861609999999999</v>
      </c>
      <c r="HY15" s="769">
        <v>10</v>
      </c>
      <c r="IP15" s="734">
        <v>12</v>
      </c>
      <c r="IQ15" s="869">
        <v>12</v>
      </c>
      <c r="IR15" s="518" t="s">
        <v>419</v>
      </c>
      <c r="IS15" s="913">
        <f t="shared" si="106"/>
        <v>1943250.5064277188</v>
      </c>
      <c r="IT15" s="915">
        <f t="shared" si="88"/>
        <v>30128662.206003848</v>
      </c>
      <c r="IU15" s="919">
        <f t="shared" si="89"/>
        <v>6.44984</v>
      </c>
      <c r="IV15" s="904">
        <v>0</v>
      </c>
      <c r="IW15" s="904">
        <f t="shared" si="91"/>
        <v>30128662.206003848</v>
      </c>
      <c r="IX15" s="913">
        <v>0</v>
      </c>
      <c r="IY15" s="882">
        <f t="shared" si="93"/>
        <v>1943250.5064277188</v>
      </c>
      <c r="IZ15" s="928">
        <f>IU15</f>
        <v>6.44984</v>
      </c>
      <c r="JA15" s="929">
        <f>IZ15</f>
        <v>6.44984</v>
      </c>
      <c r="JB15" s="913">
        <f t="shared" si="107"/>
        <v>1943250.5064277188</v>
      </c>
      <c r="JC15" s="883">
        <v>0</v>
      </c>
      <c r="JG15" s="734">
        <v>12</v>
      </c>
      <c r="JH15" s="869">
        <v>12</v>
      </c>
      <c r="JI15" s="518" t="s">
        <v>419</v>
      </c>
      <c r="JJ15" s="788">
        <f t="shared" si="96"/>
        <v>30128662.206003848</v>
      </c>
      <c r="JK15" s="917">
        <f t="shared" si="97"/>
        <v>6.44984</v>
      </c>
      <c r="JL15" s="870">
        <v>8.2569999999999997</v>
      </c>
      <c r="JM15" s="768"/>
      <c r="JN15" s="870"/>
      <c r="JO15" s="769">
        <v>10</v>
      </c>
      <c r="JT15" s="936">
        <v>109.12596292654027</v>
      </c>
      <c r="JU15" s="936">
        <f t="shared" si="64"/>
        <v>-0.64486665162866075</v>
      </c>
      <c r="JV15" s="13">
        <v>1174</v>
      </c>
      <c r="JW15" s="13">
        <f t="shared" si="65"/>
        <v>-672.59853656354551</v>
      </c>
    </row>
    <row r="16" spans="1:294" x14ac:dyDescent="0.3">
      <c r="F16" s="5"/>
      <c r="J16" s="756">
        <v>13</v>
      </c>
      <c r="K16" s="757">
        <v>13</v>
      </c>
      <c r="L16" s="732" t="s">
        <v>420</v>
      </c>
      <c r="M16" s="904">
        <v>501.40146343645449</v>
      </c>
      <c r="N16" s="944">
        <f t="shared" si="66"/>
        <v>2.2808200634473104E-7</v>
      </c>
      <c r="O16" s="753">
        <v>38.909090909090907</v>
      </c>
      <c r="P16" s="948">
        <f t="shared" si="67"/>
        <v>12.88648620981542</v>
      </c>
      <c r="Q16" s="733">
        <f t="shared" si="68"/>
        <v>7.3645345816198379E-6</v>
      </c>
      <c r="R16" s="758" t="s">
        <v>397</v>
      </c>
      <c r="V16" s="730">
        <f>+V15+1</f>
        <v>13</v>
      </c>
      <c r="W16" s="731">
        <f t="shared" si="0"/>
        <v>13</v>
      </c>
      <c r="X16" s="732" t="s">
        <v>420</v>
      </c>
      <c r="Y16" s="924">
        <f t="shared" si="69"/>
        <v>416.27088824178537</v>
      </c>
      <c r="Z16" s="944">
        <f t="shared" si="70"/>
        <v>4.9807380788753652E-6</v>
      </c>
      <c r="AD16" s="730">
        <v>13</v>
      </c>
      <c r="AE16" s="746">
        <v>13</v>
      </c>
      <c r="AF16" s="747" t="s">
        <v>420</v>
      </c>
      <c r="AG16" s="748">
        <v>74.84</v>
      </c>
      <c r="AQ16" s="730">
        <f t="shared" si="71"/>
        <v>13</v>
      </c>
      <c r="AR16" s="783">
        <f t="shared" si="1"/>
        <v>13</v>
      </c>
      <c r="AS16" s="732" t="s">
        <v>420</v>
      </c>
      <c r="AT16" s="732">
        <f t="shared" si="2"/>
        <v>74.84</v>
      </c>
      <c r="AU16" s="784">
        <f t="shared" si="72"/>
        <v>501.40146343645449</v>
      </c>
      <c r="AV16" s="784">
        <f t="shared" si="99"/>
        <v>10.423579312106739</v>
      </c>
      <c r="AW16" s="785">
        <f t="shared" si="3"/>
        <v>10.852996933739647</v>
      </c>
      <c r="AX16" s="786">
        <f t="shared" si="4"/>
        <v>18.28923031912322</v>
      </c>
      <c r="AY16" s="379">
        <f>AW16*AX16</f>
        <v>198.49296057390248</v>
      </c>
      <c r="AZ16" s="51">
        <f t="shared" si="73"/>
        <v>5.5121375040859076E-6</v>
      </c>
      <c r="BA16" s="53">
        <f t="shared" si="5"/>
        <v>39.587631000000002</v>
      </c>
      <c r="BL16" s="756">
        <f t="shared" si="100"/>
        <v>13</v>
      </c>
      <c r="BM16" s="758">
        <f t="shared" si="6"/>
        <v>13</v>
      </c>
      <c r="BN16" s="732" t="s">
        <v>420</v>
      </c>
      <c r="BO16" s="733">
        <f t="shared" si="7"/>
        <v>5.5121375040859076E-6</v>
      </c>
      <c r="BP16" s="379">
        <f t="shared" si="74"/>
        <v>43.301141484425962</v>
      </c>
      <c r="BQ16" s="733">
        <f t="shared" si="8"/>
        <v>2.2808200634473104E-7</v>
      </c>
      <c r="BR16" s="379">
        <f t="shared" si="75"/>
        <v>1.7917207652138818</v>
      </c>
      <c r="BS16" s="807">
        <f t="shared" si="9"/>
        <v>45.092862249639843</v>
      </c>
      <c r="BT16" s="808">
        <f t="shared" si="10"/>
        <v>8.9933650000000007</v>
      </c>
      <c r="BW16" s="1"/>
      <c r="BX16" s="10"/>
      <c r="BY16" s="10"/>
      <c r="BZ16" s="10"/>
      <c r="CA16" s="10"/>
      <c r="CB16" s="10"/>
      <c r="CC16" s="10"/>
      <c r="CD16" s="10"/>
      <c r="CE16" s="10"/>
      <c r="CI16" s="730">
        <f t="shared" si="101"/>
        <v>13</v>
      </c>
      <c r="CJ16" s="746">
        <f t="shared" si="12"/>
        <v>13</v>
      </c>
      <c r="CK16" s="732" t="s">
        <v>420</v>
      </c>
      <c r="CL16" s="733">
        <f t="shared" si="13"/>
        <v>2.2808200634473104E-7</v>
      </c>
      <c r="CM16" s="379">
        <f t="shared" si="14"/>
        <v>1.221205830080343</v>
      </c>
      <c r="CN16" s="733">
        <f t="shared" si="15"/>
        <v>7.3645345816198379E-6</v>
      </c>
      <c r="CO16" s="379">
        <f t="shared" si="16"/>
        <v>128.15120843675734</v>
      </c>
      <c r="CP16" s="379">
        <f t="shared" si="17"/>
        <v>129.37241426683769</v>
      </c>
      <c r="CQ16" s="733">
        <f t="shared" si="18"/>
        <v>5.6853580187118276E-6</v>
      </c>
      <c r="CR16" s="808">
        <f t="shared" si="19"/>
        <v>25.802161000000002</v>
      </c>
      <c r="DE16" s="1"/>
      <c r="DH16" s="730">
        <v>13</v>
      </c>
      <c r="DI16" s="840">
        <f t="shared" si="20"/>
        <v>13</v>
      </c>
      <c r="DJ16" s="732" t="s">
        <v>420</v>
      </c>
      <c r="DK16" s="733">
        <f t="shared" si="21"/>
        <v>5.6853580187118276E-6</v>
      </c>
      <c r="DL16" s="379">
        <f t="shared" si="77"/>
        <v>1.7915067902805535</v>
      </c>
      <c r="DM16" s="733">
        <f t="shared" si="22"/>
        <v>7.3645345816198379E-6</v>
      </c>
      <c r="DN16" s="379">
        <f t="shared" si="23"/>
        <v>14.361828149522939</v>
      </c>
      <c r="DO16" s="733">
        <f t="shared" si="24"/>
        <v>2.2808200634473104E-7</v>
      </c>
      <c r="DP16" s="379">
        <f t="shared" si="25"/>
        <v>0.74055483342364969</v>
      </c>
      <c r="DQ16" s="379">
        <f t="shared" si="78"/>
        <v>16.893889773227144</v>
      </c>
      <c r="DR16" s="733">
        <f t="shared" si="26"/>
        <v>3.0648611387664364E-6</v>
      </c>
      <c r="DS16" s="808">
        <f t="shared" si="27"/>
        <v>3.3693339999999998</v>
      </c>
      <c r="DW16" s="730">
        <f t="shared" si="102"/>
        <v>13</v>
      </c>
      <c r="DX16" s="840">
        <f t="shared" si="28"/>
        <v>13</v>
      </c>
      <c r="DY16" s="732" t="s">
        <v>420</v>
      </c>
      <c r="DZ16" s="733">
        <f t="shared" si="29"/>
        <v>7.3645345816198379E-6</v>
      </c>
      <c r="EA16" s="379">
        <f t="shared" si="30"/>
        <v>26.4187613781782</v>
      </c>
      <c r="EB16" s="808">
        <f t="shared" si="31"/>
        <v>5.2689839999999997</v>
      </c>
      <c r="EN16" s="730">
        <f>+EN15+1</f>
        <v>13</v>
      </c>
      <c r="EO16" s="840">
        <f t="shared" si="32"/>
        <v>13</v>
      </c>
      <c r="EP16" s="732" t="s">
        <v>420</v>
      </c>
      <c r="EQ16" s="733">
        <f t="shared" si="33"/>
        <v>4.9807380788753652E-6</v>
      </c>
      <c r="ER16" s="379">
        <f t="shared" si="34"/>
        <v>35.557887036180439</v>
      </c>
      <c r="ES16" s="733">
        <f t="shared" si="35"/>
        <v>5.6853580187118276E-6</v>
      </c>
      <c r="ET16" s="379">
        <f t="shared" si="36"/>
        <v>5.4724131353053913</v>
      </c>
      <c r="EU16" s="733">
        <f t="shared" si="37"/>
        <v>2.2808200634473104E-7</v>
      </c>
      <c r="EV16" s="379">
        <f t="shared" si="38"/>
        <v>0.58818125517601283</v>
      </c>
      <c r="EW16" s="379">
        <f t="shared" si="39"/>
        <v>41.618481426661845</v>
      </c>
      <c r="EX16" s="733">
        <f t="shared" si="40"/>
        <v>3.8967011176609737E-6</v>
      </c>
      <c r="EY16" s="808">
        <f t="shared" si="41"/>
        <v>8.3004309999999997</v>
      </c>
      <c r="FI16" s="730">
        <f>+FI15+1</f>
        <v>13</v>
      </c>
      <c r="FJ16" s="731">
        <f t="shared" si="42"/>
        <v>13</v>
      </c>
      <c r="FK16" s="732" t="s">
        <v>420</v>
      </c>
      <c r="FL16" s="733">
        <f t="shared" si="43"/>
        <v>4.9807380788753652E-6</v>
      </c>
      <c r="FM16" s="379">
        <f t="shared" si="44"/>
        <v>93.606141390255459</v>
      </c>
      <c r="FN16" s="808">
        <f t="shared" si="45"/>
        <v>18.668901000000002</v>
      </c>
      <c r="FR16" s="730">
        <f>+FR15+1</f>
        <v>13</v>
      </c>
      <c r="FS16" s="731">
        <v>13</v>
      </c>
      <c r="FT16" s="732" t="s">
        <v>420</v>
      </c>
      <c r="FU16" s="379">
        <f t="shared" si="46"/>
        <v>198.49296057390248</v>
      </c>
      <c r="FV16" s="379">
        <f t="shared" si="47"/>
        <v>45.092862249639843</v>
      </c>
      <c r="FW16" s="379">
        <f t="shared" si="48"/>
        <v>129.37241426683769</v>
      </c>
      <c r="FX16" s="379">
        <f t="shared" si="49"/>
        <v>16.893889773227144</v>
      </c>
      <c r="FY16" s="379">
        <f t="shared" si="50"/>
        <v>26.4187613781782</v>
      </c>
      <c r="FZ16" s="379">
        <f t="shared" si="51"/>
        <v>41.618481426661845</v>
      </c>
      <c r="GA16" s="379">
        <f t="shared" si="52"/>
        <v>93.606141390255459</v>
      </c>
      <c r="GB16" s="379">
        <f t="shared" si="53"/>
        <v>551.49551105870273</v>
      </c>
      <c r="GC16" s="852">
        <f t="shared" si="54"/>
        <v>109.99080600000001</v>
      </c>
      <c r="GG16" s="730">
        <f t="shared" si="79"/>
        <v>13</v>
      </c>
      <c r="GH16" s="731">
        <f t="shared" si="55"/>
        <v>13</v>
      </c>
      <c r="GI16" s="732" t="s">
        <v>420</v>
      </c>
      <c r="GJ16" s="808">
        <f t="shared" si="56"/>
        <v>39.587631000000002</v>
      </c>
      <c r="GK16" s="808">
        <f t="shared" si="57"/>
        <v>8.9933650000000007</v>
      </c>
      <c r="GL16" s="808">
        <f t="shared" si="58"/>
        <v>25.802161000000002</v>
      </c>
      <c r="GM16" s="808">
        <f t="shared" si="59"/>
        <v>3.3693339999999998</v>
      </c>
      <c r="GN16" s="808">
        <f t="shared" si="60"/>
        <v>5.2689839999999997</v>
      </c>
      <c r="GO16" s="808">
        <f t="shared" si="61"/>
        <v>8.3004309999999997</v>
      </c>
      <c r="GP16" s="808">
        <f t="shared" si="62"/>
        <v>18.668901000000002</v>
      </c>
      <c r="GQ16" s="808">
        <f t="shared" si="63"/>
        <v>109.99080600000001</v>
      </c>
      <c r="GR16" s="784">
        <f t="shared" si="80"/>
        <v>501.40146343645449</v>
      </c>
      <c r="GS16" s="716"/>
      <c r="GV16" s="717">
        <f t="shared" si="81"/>
        <v>13</v>
      </c>
      <c r="GW16" s="731">
        <v>13</v>
      </c>
      <c r="GX16" s="732" t="s">
        <v>420</v>
      </c>
      <c r="GY16" s="758" t="s">
        <v>397</v>
      </c>
      <c r="GZ16" s="906">
        <f t="shared" si="82"/>
        <v>551.49551105870273</v>
      </c>
      <c r="HA16" s="784">
        <f t="shared" si="83"/>
        <v>501.40146343645449</v>
      </c>
      <c r="HB16" s="922">
        <f t="shared" si="109"/>
        <v>109.99080600000001</v>
      </c>
      <c r="HC16" s="942">
        <f t="shared" si="85"/>
        <v>551.49551092955164</v>
      </c>
      <c r="HD16" s="857">
        <v>3.0916014566173544E-6</v>
      </c>
      <c r="HE16" s="54"/>
      <c r="HH16" s="54"/>
      <c r="HI16" s="54"/>
      <c r="HJ16" s="54"/>
      <c r="HK16" s="54"/>
      <c r="HL16" s="54"/>
      <c r="HM16" s="54"/>
      <c r="HN16" s="54"/>
      <c r="HQ16" s="730">
        <v>13</v>
      </c>
      <c r="HR16" s="867">
        <v>13</v>
      </c>
      <c r="HS16" s="732" t="s">
        <v>420</v>
      </c>
      <c r="HT16" s="784">
        <f t="shared" si="86"/>
        <v>501.40146343645449</v>
      </c>
      <c r="HU16" s="917">
        <f t="shared" si="87"/>
        <v>109.99080600000001</v>
      </c>
      <c r="HV16" s="868"/>
      <c r="HW16" s="765"/>
      <c r="HX16" s="868">
        <v>-62.519793000000007</v>
      </c>
      <c r="HY16" s="766">
        <v>10</v>
      </c>
      <c r="IP16" s="730">
        <v>13</v>
      </c>
      <c r="IQ16" s="867">
        <v>13</v>
      </c>
      <c r="IR16" s="732" t="s">
        <v>420</v>
      </c>
      <c r="IS16" s="913">
        <f t="shared" si="106"/>
        <v>551.49551092955164</v>
      </c>
      <c r="IT16" s="915">
        <f t="shared" si="88"/>
        <v>501.40146343645449</v>
      </c>
      <c r="IU16" s="918">
        <f t="shared" si="89"/>
        <v>109.99080600000001</v>
      </c>
      <c r="IV16" s="904">
        <f>IT16*$IK$4/(1-$IL$4)</f>
        <v>73.53099988508292</v>
      </c>
      <c r="IW16" s="904">
        <f t="shared" si="91"/>
        <v>427.87046355137159</v>
      </c>
      <c r="IX16" s="913">
        <f>IV16*$II$4</f>
        <v>1.1029649982762437</v>
      </c>
      <c r="IY16" s="881">
        <f t="shared" si="93"/>
        <v>550.39254593127544</v>
      </c>
      <c r="IZ16" s="928">
        <f>100*IY16/IT16</f>
        <v>109.77082957816893</v>
      </c>
      <c r="JA16" s="928">
        <f>IZ16+1.5</f>
        <v>111.27082957816893</v>
      </c>
      <c r="JB16" s="913">
        <f t="shared" si="107"/>
        <v>551.49551092955176</v>
      </c>
      <c r="JC16" s="852">
        <v>0.22223338397144232</v>
      </c>
      <c r="JG16" s="730">
        <v>13</v>
      </c>
      <c r="JH16" s="867">
        <v>13</v>
      </c>
      <c r="JI16" s="732" t="s">
        <v>420</v>
      </c>
      <c r="JJ16" s="784">
        <f t="shared" si="96"/>
        <v>501.40146343645449</v>
      </c>
      <c r="JK16" s="917">
        <f t="shared" si="97"/>
        <v>109.77082957816893</v>
      </c>
      <c r="JL16" s="868">
        <v>172.63300000000001</v>
      </c>
      <c r="JM16" s="765"/>
      <c r="JN16" s="868"/>
      <c r="JO16" s="766">
        <v>10</v>
      </c>
      <c r="JT16" s="936">
        <v>7.0486779999999998</v>
      </c>
      <c r="JU16" s="936">
        <f t="shared" si="64"/>
        <v>-3.3646000000000065E-2</v>
      </c>
      <c r="JV16" s="13">
        <v>4661820</v>
      </c>
      <c r="JW16" s="13">
        <f t="shared" si="65"/>
        <v>-238767</v>
      </c>
    </row>
    <row r="17" spans="3:294" x14ac:dyDescent="0.3">
      <c r="J17" s="338">
        <v>14</v>
      </c>
      <c r="K17" s="759">
        <v>14</v>
      </c>
      <c r="L17" s="518" t="s">
        <v>421</v>
      </c>
      <c r="M17" s="904">
        <v>4423053</v>
      </c>
      <c r="N17" s="943">
        <f t="shared" si="66"/>
        <v>2.0119981212159649E-3</v>
      </c>
      <c r="O17" s="455">
        <v>1224</v>
      </c>
      <c r="P17" s="948">
        <f t="shared" si="67"/>
        <v>3613.6053921568628</v>
      </c>
      <c r="Q17" s="659">
        <f t="shared" si="68"/>
        <v>2.0651496025810992E-3</v>
      </c>
      <c r="R17" s="322" t="s">
        <v>402</v>
      </c>
      <c r="V17" s="734">
        <f t="shared" si="98"/>
        <v>14</v>
      </c>
      <c r="W17" s="735">
        <f t="shared" si="0"/>
        <v>14</v>
      </c>
      <c r="X17" s="518" t="s">
        <v>421</v>
      </c>
      <c r="Y17" s="924">
        <f t="shared" si="69"/>
        <v>233605.51327976762</v>
      </c>
      <c r="Z17" s="943">
        <f t="shared" si="70"/>
        <v>2.7951218984882359E-3</v>
      </c>
      <c r="AD17" s="734">
        <v>14</v>
      </c>
      <c r="AE17" s="146">
        <v>14</v>
      </c>
      <c r="AF17" s="347" t="s">
        <v>421</v>
      </c>
      <c r="AG17" s="369">
        <v>5.35</v>
      </c>
      <c r="AQ17" s="734">
        <f t="shared" si="71"/>
        <v>14</v>
      </c>
      <c r="AR17" s="787">
        <f t="shared" si="1"/>
        <v>14</v>
      </c>
      <c r="AS17" s="518" t="s">
        <v>421</v>
      </c>
      <c r="AT17" s="518">
        <f>VLOOKUP(AR17,$AE$4:$AG$27,$AT$30,FALSE)</f>
        <v>5.35</v>
      </c>
      <c r="AU17" s="788">
        <f t="shared" si="72"/>
        <v>4423053</v>
      </c>
      <c r="AV17" s="788">
        <f t="shared" si="99"/>
        <v>6573.1482083333321</v>
      </c>
      <c r="AW17" s="789">
        <f t="shared" si="3"/>
        <v>6843.9405710857973</v>
      </c>
      <c r="AX17" s="790">
        <f t="shared" si="4"/>
        <v>18.28923031912322</v>
      </c>
      <c r="AY17" s="358">
        <f t="shared" si="108"/>
        <v>125170.40539497985</v>
      </c>
      <c r="AZ17" s="35">
        <f t="shared" si="73"/>
        <v>3.4759745836045524E-3</v>
      </c>
      <c r="BA17" s="55">
        <f t="shared" si="5"/>
        <v>2.829955</v>
      </c>
      <c r="BL17" s="338">
        <f t="shared" si="100"/>
        <v>14</v>
      </c>
      <c r="BM17" s="322">
        <f t="shared" si="6"/>
        <v>14</v>
      </c>
      <c r="BN17" s="518" t="s">
        <v>421</v>
      </c>
      <c r="BO17" s="659">
        <f t="shared" si="7"/>
        <v>3.4759745836045524E-3</v>
      </c>
      <c r="BP17" s="358">
        <f t="shared" si="74"/>
        <v>27305.862223023301</v>
      </c>
      <c r="BQ17" s="659">
        <f t="shared" si="8"/>
        <v>2.0119981212159649E-3</v>
      </c>
      <c r="BR17" s="358">
        <f t="shared" si="75"/>
        <v>15805.45029012649</v>
      </c>
      <c r="BS17" s="809">
        <f t="shared" si="9"/>
        <v>43111.312513149795</v>
      </c>
      <c r="BT17" s="810">
        <f t="shared" si="10"/>
        <v>0.97469600000000001</v>
      </c>
      <c r="BW17" s="1"/>
      <c r="BX17" s="10"/>
      <c r="BY17" s="10"/>
      <c r="BZ17" s="10"/>
      <c r="CA17" s="10"/>
      <c r="CB17" s="10"/>
      <c r="CC17" s="10"/>
      <c r="CD17" s="10"/>
      <c r="CE17" s="10"/>
      <c r="CI17" s="734">
        <f t="shared" si="101"/>
        <v>14</v>
      </c>
      <c r="CJ17" s="146">
        <f t="shared" si="12"/>
        <v>14</v>
      </c>
      <c r="CK17" s="518" t="s">
        <v>421</v>
      </c>
      <c r="CL17" s="344">
        <f t="shared" si="13"/>
        <v>2.0119981212159649E-3</v>
      </c>
      <c r="CM17" s="20">
        <f t="shared" si="14"/>
        <v>10772.721071323538</v>
      </c>
      <c r="CN17" s="344">
        <f t="shared" si="15"/>
        <v>2.0651496025810992E-3</v>
      </c>
      <c r="CO17" s="20">
        <f t="shared" si="16"/>
        <v>35935.932439500699</v>
      </c>
      <c r="CP17" s="20">
        <f t="shared" si="17"/>
        <v>46708.653510824239</v>
      </c>
      <c r="CQ17" s="344">
        <f t="shared" si="18"/>
        <v>2.0526432878749121E-3</v>
      </c>
      <c r="CR17" s="342">
        <f t="shared" si="19"/>
        <v>1.056027</v>
      </c>
      <c r="DE17" s="1"/>
      <c r="DH17" s="734">
        <v>14</v>
      </c>
      <c r="DI17" s="745">
        <f t="shared" si="20"/>
        <v>14</v>
      </c>
      <c r="DJ17" s="518" t="s">
        <v>421</v>
      </c>
      <c r="DK17" s="344">
        <f t="shared" si="21"/>
        <v>2.0526432878749121E-3</v>
      </c>
      <c r="DL17" s="20">
        <f t="shared" si="77"/>
        <v>646.80612481197863</v>
      </c>
      <c r="DM17" s="344">
        <f t="shared" si="22"/>
        <v>2.0651496025810992E-3</v>
      </c>
      <c r="DN17" s="20">
        <f t="shared" si="23"/>
        <v>4027.3181375708523</v>
      </c>
      <c r="DO17" s="344">
        <f t="shared" si="24"/>
        <v>2.0119981212159649E-3</v>
      </c>
      <c r="DP17" s="20">
        <f t="shared" si="25"/>
        <v>6532.7158305234971</v>
      </c>
      <c r="DQ17" s="20">
        <f t="shared" si="78"/>
        <v>11206.840092906328</v>
      </c>
      <c r="DR17" s="344">
        <f t="shared" si="26"/>
        <v>2.0331261272670807E-3</v>
      </c>
      <c r="DS17" s="342">
        <f t="shared" si="27"/>
        <v>0.25337300000000001</v>
      </c>
      <c r="DW17" s="734">
        <f t="shared" si="102"/>
        <v>14</v>
      </c>
      <c r="DX17" s="745">
        <f t="shared" si="28"/>
        <v>14</v>
      </c>
      <c r="DY17" s="518" t="s">
        <v>421</v>
      </c>
      <c r="DZ17" s="344">
        <f t="shared" si="29"/>
        <v>2.0651496025810992E-3</v>
      </c>
      <c r="EA17" s="20">
        <f t="shared" si="30"/>
        <v>7408.3017679074237</v>
      </c>
      <c r="EB17" s="342">
        <f t="shared" si="31"/>
        <v>0.167493</v>
      </c>
      <c r="EN17" s="734">
        <f t="shared" si="103"/>
        <v>14</v>
      </c>
      <c r="EO17" s="745">
        <f t="shared" si="32"/>
        <v>14</v>
      </c>
      <c r="EP17" s="518" t="s">
        <v>421</v>
      </c>
      <c r="EQ17" s="344">
        <f t="shared" si="33"/>
        <v>2.7951218984882359E-3</v>
      </c>
      <c r="ER17" s="20">
        <f t="shared" si="34"/>
        <v>19954.598524329656</v>
      </c>
      <c r="ES17" s="344">
        <f t="shared" si="35"/>
        <v>2.0526432878749121E-3</v>
      </c>
      <c r="ET17" s="20">
        <f t="shared" si="36"/>
        <v>1975.7616061632361</v>
      </c>
      <c r="EU17" s="344">
        <f t="shared" si="37"/>
        <v>2.0119981212159649E-3</v>
      </c>
      <c r="EV17" s="20">
        <f t="shared" si="38"/>
        <v>5188.5705466827776</v>
      </c>
      <c r="EW17" s="20">
        <f t="shared" si="39"/>
        <v>27118.930677175671</v>
      </c>
      <c r="EX17" s="344">
        <f t="shared" si="40"/>
        <v>2.5391211754262435E-3</v>
      </c>
      <c r="EY17" s="342">
        <f t="shared" si="41"/>
        <v>0.61312699999999998</v>
      </c>
      <c r="FI17" s="734">
        <f t="shared" si="104"/>
        <v>14</v>
      </c>
      <c r="FJ17" s="735">
        <f t="shared" si="42"/>
        <v>14</v>
      </c>
      <c r="FK17" s="518" t="s">
        <v>421</v>
      </c>
      <c r="FL17" s="344">
        <f t="shared" si="43"/>
        <v>2.7951218984882359E-3</v>
      </c>
      <c r="FM17" s="20">
        <f t="shared" si="44"/>
        <v>52530.482729573021</v>
      </c>
      <c r="FN17" s="342">
        <f t="shared" si="45"/>
        <v>1.1876519999999999</v>
      </c>
      <c r="FR17" s="734">
        <f t="shared" si="105"/>
        <v>14</v>
      </c>
      <c r="FS17" s="735">
        <v>14</v>
      </c>
      <c r="FT17" s="518" t="s">
        <v>421</v>
      </c>
      <c r="FU17" s="20">
        <f t="shared" si="46"/>
        <v>125170.40539497985</v>
      </c>
      <c r="FV17" s="20">
        <f t="shared" si="47"/>
        <v>43111.312513149795</v>
      </c>
      <c r="FW17" s="20">
        <f t="shared" si="48"/>
        <v>46708.653510824239</v>
      </c>
      <c r="FX17" s="20">
        <f t="shared" si="49"/>
        <v>11206.840092906328</v>
      </c>
      <c r="FY17" s="20">
        <f t="shared" si="50"/>
        <v>7408.3017679074237</v>
      </c>
      <c r="FZ17" s="20">
        <f t="shared" si="51"/>
        <v>27118.930677175671</v>
      </c>
      <c r="GA17" s="20">
        <f t="shared" si="52"/>
        <v>52530.482729573021</v>
      </c>
      <c r="GB17" s="20">
        <f t="shared" si="53"/>
        <v>313254.92668651632</v>
      </c>
      <c r="GC17" s="414">
        <f t="shared" si="54"/>
        <v>7.0823239999999998</v>
      </c>
      <c r="GG17" s="734">
        <f t="shared" si="79"/>
        <v>14</v>
      </c>
      <c r="GH17" s="735">
        <f t="shared" si="55"/>
        <v>14</v>
      </c>
      <c r="GI17" s="518" t="s">
        <v>421</v>
      </c>
      <c r="GJ17" s="342">
        <f t="shared" si="56"/>
        <v>2.829955</v>
      </c>
      <c r="GK17" s="342">
        <f t="shared" si="57"/>
        <v>0.97469600000000001</v>
      </c>
      <c r="GL17" s="342">
        <f t="shared" si="58"/>
        <v>1.056027</v>
      </c>
      <c r="GM17" s="342">
        <f t="shared" si="59"/>
        <v>0.25337300000000001</v>
      </c>
      <c r="GN17" s="342">
        <f t="shared" si="60"/>
        <v>0.167493</v>
      </c>
      <c r="GO17" s="342">
        <f t="shared" si="61"/>
        <v>0.61312699999999998</v>
      </c>
      <c r="GP17" s="342">
        <f t="shared" si="62"/>
        <v>1.1876519999999999</v>
      </c>
      <c r="GQ17" s="342">
        <f t="shared" si="63"/>
        <v>7.0823239999999998</v>
      </c>
      <c r="GR17" s="788">
        <f t="shared" si="80"/>
        <v>4423053</v>
      </c>
      <c r="GS17" s="716"/>
      <c r="GV17" s="718">
        <f t="shared" si="81"/>
        <v>14</v>
      </c>
      <c r="GW17" s="735">
        <v>14</v>
      </c>
      <c r="GX17" s="518" t="s">
        <v>421</v>
      </c>
      <c r="GY17" s="322" t="s">
        <v>402</v>
      </c>
      <c r="GZ17" s="924">
        <f t="shared" si="82"/>
        <v>313254.92668651632</v>
      </c>
      <c r="HA17" s="788">
        <f t="shared" si="83"/>
        <v>4423053</v>
      </c>
      <c r="HB17" s="922">
        <f t="shared" si="109"/>
        <v>7.0823239999999998</v>
      </c>
      <c r="HC17" s="942">
        <f t="shared" si="85"/>
        <v>313254.94415171997</v>
      </c>
      <c r="HD17" s="858">
        <v>1.3547623995691538E-2</v>
      </c>
      <c r="HE17" s="54"/>
      <c r="HH17" s="54"/>
      <c r="HI17" s="54"/>
      <c r="HJ17" s="54"/>
      <c r="HK17" s="54"/>
      <c r="HL17" s="54"/>
      <c r="HM17" s="54"/>
      <c r="HN17" s="54"/>
      <c r="HQ17" s="734">
        <v>14</v>
      </c>
      <c r="HR17" s="869">
        <v>14</v>
      </c>
      <c r="HS17" s="518" t="s">
        <v>421</v>
      </c>
      <c r="HT17" s="788">
        <f t="shared" si="86"/>
        <v>4423053</v>
      </c>
      <c r="HU17" s="917">
        <f t="shared" si="87"/>
        <v>7.0823239999999998</v>
      </c>
      <c r="HV17" s="870"/>
      <c r="HW17" s="768"/>
      <c r="HX17" s="870">
        <v>-1.889964</v>
      </c>
      <c r="HY17" s="769">
        <v>10</v>
      </c>
      <c r="IP17" s="734">
        <v>14</v>
      </c>
      <c r="IQ17" s="869">
        <v>14</v>
      </c>
      <c r="IR17" s="518" t="s">
        <v>421</v>
      </c>
      <c r="IS17" s="913">
        <f t="shared" si="106"/>
        <v>313254.94415171997</v>
      </c>
      <c r="IT17" s="915">
        <f t="shared" si="88"/>
        <v>4423053</v>
      </c>
      <c r="IU17" s="919">
        <f t="shared" si="89"/>
        <v>7.0823239999999998</v>
      </c>
      <c r="IV17" s="904">
        <v>0</v>
      </c>
      <c r="IW17" s="904">
        <f t="shared" si="91"/>
        <v>4423053</v>
      </c>
      <c r="IX17" s="913">
        <v>0</v>
      </c>
      <c r="IY17" s="882">
        <f t="shared" si="93"/>
        <v>313254.94415171997</v>
      </c>
      <c r="IZ17" s="928">
        <f>IU17</f>
        <v>7.0823239999999998</v>
      </c>
      <c r="JA17" s="929">
        <f>IZ17</f>
        <v>7.0823239999999998</v>
      </c>
      <c r="JB17" s="913">
        <f t="shared" si="107"/>
        <v>313254.94415171997</v>
      </c>
      <c r="JC17" s="883">
        <v>0</v>
      </c>
      <c r="JG17" s="734">
        <v>14</v>
      </c>
      <c r="JH17" s="869">
        <v>14</v>
      </c>
      <c r="JI17" s="518" t="s">
        <v>421</v>
      </c>
      <c r="JJ17" s="788">
        <f t="shared" si="96"/>
        <v>4423053</v>
      </c>
      <c r="JK17" s="917">
        <f t="shared" si="97"/>
        <v>7.0823239999999998</v>
      </c>
      <c r="JL17" s="870">
        <v>8.9960000000000004</v>
      </c>
      <c r="JM17" s="768"/>
      <c r="JN17" s="870"/>
      <c r="JO17" s="769">
        <v>10</v>
      </c>
      <c r="JT17" s="936">
        <v>5.1476399265402577</v>
      </c>
      <c r="JU17" s="936">
        <f t="shared" si="64"/>
        <v>-2.4213651628651078E-2</v>
      </c>
      <c r="JV17" s="13">
        <v>96124959</v>
      </c>
      <c r="JW17" s="13">
        <f t="shared" si="65"/>
        <v>148412.21735952795</v>
      </c>
    </row>
    <row r="18" spans="3:294" x14ac:dyDescent="0.3">
      <c r="J18" s="756">
        <v>15</v>
      </c>
      <c r="K18" s="757">
        <v>15</v>
      </c>
      <c r="L18" s="732" t="s">
        <v>422</v>
      </c>
      <c r="M18" s="904">
        <v>96273371.217359528</v>
      </c>
      <c r="N18" s="944">
        <f t="shared" si="66"/>
        <v>4.3793696800028058E-2</v>
      </c>
      <c r="O18" s="753">
        <v>1647.5553979923125</v>
      </c>
      <c r="P18" s="948">
        <f t="shared" si="67"/>
        <v>58434.072283503723</v>
      </c>
      <c r="Q18" s="733">
        <f t="shared" si="68"/>
        <v>3.3394653831154836E-2</v>
      </c>
      <c r="R18" s="758" t="s">
        <v>397</v>
      </c>
      <c r="V18" s="730">
        <f t="shared" si="98"/>
        <v>15</v>
      </c>
      <c r="W18" s="731">
        <f t="shared" si="0"/>
        <v>15</v>
      </c>
      <c r="X18" s="732" t="s">
        <v>422</v>
      </c>
      <c r="Y18" s="924">
        <f t="shared" si="69"/>
        <v>3849123.0368860578</v>
      </c>
      <c r="Z18" s="944">
        <f t="shared" si="70"/>
        <v>4.6055283282167167E-2</v>
      </c>
      <c r="AD18" s="730">
        <v>15</v>
      </c>
      <c r="AE18" s="746">
        <v>15</v>
      </c>
      <c r="AF18" s="747" t="s">
        <v>422</v>
      </c>
      <c r="AG18" s="748">
        <v>3.79</v>
      </c>
      <c r="AQ18" s="730">
        <f t="shared" si="71"/>
        <v>15</v>
      </c>
      <c r="AR18" s="783">
        <f t="shared" si="1"/>
        <v>15</v>
      </c>
      <c r="AS18" s="732" t="s">
        <v>422</v>
      </c>
      <c r="AT18" s="732">
        <f t="shared" si="2"/>
        <v>3.79</v>
      </c>
      <c r="AU18" s="784">
        <f t="shared" si="72"/>
        <v>96273371.217359528</v>
      </c>
      <c r="AV18" s="784">
        <f t="shared" si="99"/>
        <v>101354.46580938683</v>
      </c>
      <c r="AW18" s="785">
        <f t="shared" si="3"/>
        <v>105529.94069632795</v>
      </c>
      <c r="AX18" s="786">
        <f t="shared" si="4"/>
        <v>18.28923031912322</v>
      </c>
      <c r="AY18" s="379">
        <f>AW18*AX18</f>
        <v>1930061.3909585564</v>
      </c>
      <c r="AZ18" s="51">
        <f t="shared" si="73"/>
        <v>5.359768803654813E-2</v>
      </c>
      <c r="BA18" s="53">
        <f t="shared" si="5"/>
        <v>2.004772</v>
      </c>
      <c r="BL18" s="756">
        <f t="shared" si="100"/>
        <v>15</v>
      </c>
      <c r="BM18" s="758">
        <f t="shared" si="6"/>
        <v>15</v>
      </c>
      <c r="BN18" s="732" t="s">
        <v>422</v>
      </c>
      <c r="BO18" s="733">
        <f t="shared" si="7"/>
        <v>5.359768803654813E-2</v>
      </c>
      <c r="BP18" s="379">
        <f t="shared" si="74"/>
        <v>421041.94084207021</v>
      </c>
      <c r="BQ18" s="733">
        <f t="shared" si="8"/>
        <v>4.3793696800028058E-2</v>
      </c>
      <c r="BR18" s="379">
        <f t="shared" si="75"/>
        <v>344025.71776527888</v>
      </c>
      <c r="BS18" s="807">
        <f t="shared" si="9"/>
        <v>765067.65860734903</v>
      </c>
      <c r="BT18" s="808">
        <f t="shared" si="10"/>
        <v>0.79468300000000003</v>
      </c>
      <c r="BW18" s="1"/>
      <c r="BX18" s="10"/>
      <c r="BY18" s="10"/>
      <c r="BZ18" s="10"/>
      <c r="CA18" s="10"/>
      <c r="CB18" s="10"/>
      <c r="CC18" s="10"/>
      <c r="CD18" s="10"/>
      <c r="CE18" s="10"/>
      <c r="CI18" s="730">
        <f t="shared" si="101"/>
        <v>15</v>
      </c>
      <c r="CJ18" s="746">
        <f t="shared" si="12"/>
        <v>15</v>
      </c>
      <c r="CK18" s="732" t="s">
        <v>422</v>
      </c>
      <c r="CL18" s="733">
        <f t="shared" si="13"/>
        <v>4.3793696800028058E-2</v>
      </c>
      <c r="CM18" s="379">
        <f t="shared" si="14"/>
        <v>234481.96861321849</v>
      </c>
      <c r="CN18" s="733">
        <f t="shared" si="15"/>
        <v>3.3394653831154836E-2</v>
      </c>
      <c r="CO18" s="379">
        <f t="shared" si="16"/>
        <v>581104.64366213686</v>
      </c>
      <c r="CP18" s="379">
        <f t="shared" si="17"/>
        <v>815586.61227535538</v>
      </c>
      <c r="CQ18" s="733">
        <f t="shared" si="18"/>
        <v>3.5841503865652852E-2</v>
      </c>
      <c r="CR18" s="808">
        <f t="shared" si="19"/>
        <v>0.84715700000000005</v>
      </c>
      <c r="DE18" s="1"/>
      <c r="DH18" s="730">
        <v>15</v>
      </c>
      <c r="DI18" s="840">
        <f t="shared" si="20"/>
        <v>15</v>
      </c>
      <c r="DJ18" s="732" t="s">
        <v>422</v>
      </c>
      <c r="DK18" s="733">
        <f t="shared" si="21"/>
        <v>3.5841503865652852E-2</v>
      </c>
      <c r="DL18" s="379">
        <f t="shared" si="77"/>
        <v>11293.976094003729</v>
      </c>
      <c r="DM18" s="733">
        <f t="shared" si="22"/>
        <v>3.3394653831154836E-2</v>
      </c>
      <c r="DN18" s="379">
        <f t="shared" si="23"/>
        <v>65124.044720062026</v>
      </c>
      <c r="DO18" s="733">
        <f t="shared" si="24"/>
        <v>4.3793696800028058E-2</v>
      </c>
      <c r="DP18" s="379">
        <f t="shared" si="25"/>
        <v>142192.86456877404</v>
      </c>
      <c r="DQ18" s="379">
        <f t="shared" si="78"/>
        <v>218610.88538283977</v>
      </c>
      <c r="DR18" s="733">
        <f t="shared" si="26"/>
        <v>3.9660020049556689E-2</v>
      </c>
      <c r="DS18" s="808">
        <f t="shared" si="27"/>
        <v>0.227073</v>
      </c>
      <c r="DW18" s="730">
        <f t="shared" si="102"/>
        <v>15</v>
      </c>
      <c r="DX18" s="840">
        <f t="shared" si="28"/>
        <v>15</v>
      </c>
      <c r="DY18" s="732" t="s">
        <v>422</v>
      </c>
      <c r="DZ18" s="733">
        <f t="shared" si="29"/>
        <v>3.3394653831154836E-2</v>
      </c>
      <c r="EA18" s="379">
        <f t="shared" si="30"/>
        <v>119796.48966195677</v>
      </c>
      <c r="EB18" s="808">
        <f t="shared" si="31"/>
        <v>0.124434</v>
      </c>
      <c r="EN18" s="730">
        <f t="shared" si="103"/>
        <v>15</v>
      </c>
      <c r="EO18" s="840">
        <f t="shared" si="32"/>
        <v>15</v>
      </c>
      <c r="EP18" s="732" t="s">
        <v>422</v>
      </c>
      <c r="EQ18" s="733">
        <f t="shared" si="33"/>
        <v>4.6055283282167167E-2</v>
      </c>
      <c r="ER18" s="379">
        <f t="shared" si="34"/>
        <v>328792.34652233729</v>
      </c>
      <c r="ES18" s="733">
        <f t="shared" si="35"/>
        <v>3.5841503865652852E-2</v>
      </c>
      <c r="ET18" s="379">
        <f t="shared" si="36"/>
        <v>34499.061606667005</v>
      </c>
      <c r="EU18" s="733">
        <f t="shared" si="37"/>
        <v>4.3793696800028058E-2</v>
      </c>
      <c r="EV18" s="379">
        <f t="shared" si="38"/>
        <v>112935.83376193978</v>
      </c>
      <c r="EW18" s="379">
        <f t="shared" si="39"/>
        <v>476227.24189094407</v>
      </c>
      <c r="EX18" s="733">
        <f t="shared" si="40"/>
        <v>4.4588729865290729E-2</v>
      </c>
      <c r="EY18" s="808">
        <f t="shared" si="41"/>
        <v>0.49466100000000002</v>
      </c>
      <c r="FI18" s="730">
        <f t="shared" si="104"/>
        <v>15</v>
      </c>
      <c r="FJ18" s="731">
        <f t="shared" si="42"/>
        <v>15</v>
      </c>
      <c r="FK18" s="732" t="s">
        <v>422</v>
      </c>
      <c r="FL18" s="733">
        <f t="shared" si="43"/>
        <v>4.6055283282167167E-2</v>
      </c>
      <c r="FM18" s="379">
        <f t="shared" si="44"/>
        <v>865545.88705701055</v>
      </c>
      <c r="FN18" s="808">
        <f t="shared" si="45"/>
        <v>0.89905000000000002</v>
      </c>
      <c r="FR18" s="730">
        <f t="shared" si="105"/>
        <v>15</v>
      </c>
      <c r="FS18" s="731">
        <v>15</v>
      </c>
      <c r="FT18" s="732" t="s">
        <v>422</v>
      </c>
      <c r="FU18" s="379">
        <f t="shared" si="46"/>
        <v>1930061.3909585564</v>
      </c>
      <c r="FV18" s="379">
        <f t="shared" si="47"/>
        <v>765067.65860734903</v>
      </c>
      <c r="FW18" s="379">
        <f t="shared" si="48"/>
        <v>815586.61227535538</v>
      </c>
      <c r="FX18" s="379">
        <f t="shared" si="49"/>
        <v>218610.88538283977</v>
      </c>
      <c r="FY18" s="379">
        <f t="shared" si="50"/>
        <v>119796.48966195677</v>
      </c>
      <c r="FZ18" s="379">
        <f t="shared" si="51"/>
        <v>476227.24189094407</v>
      </c>
      <c r="GA18" s="379">
        <f t="shared" si="52"/>
        <v>865545.88705701055</v>
      </c>
      <c r="GB18" s="379">
        <f t="shared" si="53"/>
        <v>5190896.1658340115</v>
      </c>
      <c r="GC18" s="852">
        <f t="shared" si="54"/>
        <v>5.3918299999999997</v>
      </c>
      <c r="GG18" s="730">
        <f t="shared" si="79"/>
        <v>15</v>
      </c>
      <c r="GH18" s="731">
        <f t="shared" si="55"/>
        <v>15</v>
      </c>
      <c r="GI18" s="732" t="s">
        <v>422</v>
      </c>
      <c r="GJ18" s="808">
        <f t="shared" si="56"/>
        <v>2.004772</v>
      </c>
      <c r="GK18" s="808">
        <f t="shared" si="57"/>
        <v>0.79468300000000003</v>
      </c>
      <c r="GL18" s="808">
        <f t="shared" si="58"/>
        <v>0.84715700000000005</v>
      </c>
      <c r="GM18" s="808">
        <f t="shared" si="59"/>
        <v>0.227073</v>
      </c>
      <c r="GN18" s="808">
        <f t="shared" si="60"/>
        <v>0.124434</v>
      </c>
      <c r="GO18" s="808">
        <f t="shared" si="61"/>
        <v>0.49466100000000002</v>
      </c>
      <c r="GP18" s="808">
        <f t="shared" si="62"/>
        <v>0.89905000000000002</v>
      </c>
      <c r="GQ18" s="808">
        <f t="shared" si="63"/>
        <v>5.3918299999999997</v>
      </c>
      <c r="GR18" s="784">
        <f t="shared" si="80"/>
        <v>96273371.217359528</v>
      </c>
      <c r="GS18" s="716"/>
      <c r="GV18" s="717">
        <f t="shared" si="81"/>
        <v>15</v>
      </c>
      <c r="GW18" s="731">
        <v>15</v>
      </c>
      <c r="GX18" s="732" t="s">
        <v>422</v>
      </c>
      <c r="GY18" s="758" t="s">
        <v>397</v>
      </c>
      <c r="GZ18" s="906">
        <f t="shared" si="82"/>
        <v>5190896.1658340115</v>
      </c>
      <c r="HA18" s="784">
        <f t="shared" si="83"/>
        <v>96273371.217359528</v>
      </c>
      <c r="HB18" s="922">
        <f t="shared" si="109"/>
        <v>5.3918299999999997</v>
      </c>
      <c r="HC18" s="942">
        <f t="shared" si="85"/>
        <v>5190896.511308956</v>
      </c>
      <c r="HD18" s="857">
        <v>-0.15500812418758869</v>
      </c>
      <c r="HE18" s="54"/>
      <c r="HH18" s="54"/>
      <c r="HI18" s="54"/>
      <c r="HJ18" s="54"/>
      <c r="HK18" s="54"/>
      <c r="HL18" s="54"/>
      <c r="HM18" s="54"/>
      <c r="HN18" s="54"/>
      <c r="HQ18" s="730">
        <v>15</v>
      </c>
      <c r="HR18" s="867">
        <v>15</v>
      </c>
      <c r="HS18" s="732" t="s">
        <v>422</v>
      </c>
      <c r="HT18" s="784">
        <f t="shared" si="86"/>
        <v>96273371.217359528</v>
      </c>
      <c r="HU18" s="917">
        <f t="shared" si="87"/>
        <v>5.3918299999999997</v>
      </c>
      <c r="HV18" s="868"/>
      <c r="HW18" s="765"/>
      <c r="HX18" s="868">
        <v>-1.348795</v>
      </c>
      <c r="HY18" s="766">
        <v>10</v>
      </c>
      <c r="IP18" s="730">
        <v>15</v>
      </c>
      <c r="IQ18" s="867">
        <v>15</v>
      </c>
      <c r="IR18" s="732" t="s">
        <v>422</v>
      </c>
      <c r="IS18" s="913">
        <f t="shared" si="106"/>
        <v>5190896.511308956</v>
      </c>
      <c r="IT18" s="915">
        <f t="shared" si="88"/>
        <v>96273371.217359528</v>
      </c>
      <c r="IU18" s="918">
        <f t="shared" si="89"/>
        <v>5.3918299999999997</v>
      </c>
      <c r="IV18" s="904">
        <f t="shared" ref="IV18:IV22" si="114">IT18*$IK$4/(1-$IL$4)</f>
        <v>14118581.145340795</v>
      </c>
      <c r="IW18" s="904">
        <f t="shared" si="91"/>
        <v>82154790.072018728</v>
      </c>
      <c r="IX18" s="913">
        <f t="shared" ref="IX18:IX22" si="115">IV18*$II$4</f>
        <v>211778.71718011191</v>
      </c>
      <c r="IY18" s="881">
        <f t="shared" si="93"/>
        <v>4979117.7941288445</v>
      </c>
      <c r="IZ18" s="928">
        <f t="shared" ref="IZ18:IZ22" si="116">100*IY18/IT18</f>
        <v>5.1718535781689088</v>
      </c>
      <c r="JA18" s="928">
        <f t="shared" ref="JA18:JA22" si="117">IZ18+1.5</f>
        <v>6.6718535781689088</v>
      </c>
      <c r="JB18" s="913">
        <f t="shared" si="107"/>
        <v>5190896.5113089569</v>
      </c>
      <c r="JC18" s="852">
        <v>0.2222329163183332</v>
      </c>
      <c r="JG18" s="730">
        <v>15</v>
      </c>
      <c r="JH18" s="867">
        <v>15</v>
      </c>
      <c r="JI18" s="732" t="s">
        <v>422</v>
      </c>
      <c r="JJ18" s="784">
        <f t="shared" si="96"/>
        <v>96273371.217359528</v>
      </c>
      <c r="JK18" s="917">
        <f t="shared" si="97"/>
        <v>5.1718535781689088</v>
      </c>
      <c r="JL18" s="868">
        <v>6.5359999999999996</v>
      </c>
      <c r="JM18" s="765"/>
      <c r="JN18" s="868"/>
      <c r="JO18" s="766">
        <v>10</v>
      </c>
      <c r="JT18" s="936">
        <v>15.047708926540258</v>
      </c>
      <c r="JU18" s="936">
        <f t="shared" si="64"/>
        <v>-8.6097651628652017E-2</v>
      </c>
      <c r="JV18" s="13">
        <v>10481200</v>
      </c>
      <c r="JW18" s="13">
        <f t="shared" si="65"/>
        <v>-125419.28552626073</v>
      </c>
    </row>
    <row r="19" spans="3:294" x14ac:dyDescent="0.3">
      <c r="C19" s="3"/>
      <c r="J19" s="338">
        <v>16</v>
      </c>
      <c r="K19" s="759">
        <v>16</v>
      </c>
      <c r="L19" s="518" t="s">
        <v>423</v>
      </c>
      <c r="M19" s="904">
        <v>10355780.714473739</v>
      </c>
      <c r="N19" s="943">
        <f t="shared" si="66"/>
        <v>4.7107306517117668E-3</v>
      </c>
      <c r="O19" s="455">
        <v>286.98366108420379</v>
      </c>
      <c r="P19" s="948">
        <f t="shared" si="67"/>
        <v>36084.913947192457</v>
      </c>
      <c r="Q19" s="659">
        <f t="shared" si="68"/>
        <v>2.0622269896696792E-2</v>
      </c>
      <c r="R19" s="322" t="s">
        <v>397</v>
      </c>
      <c r="V19" s="734">
        <f t="shared" si="98"/>
        <v>16</v>
      </c>
      <c r="W19" s="735">
        <f t="shared" si="0"/>
        <v>16</v>
      </c>
      <c r="X19" s="518" t="s">
        <v>423</v>
      </c>
      <c r="Y19" s="924">
        <f t="shared" si="69"/>
        <v>1191806.2053545492</v>
      </c>
      <c r="Z19" s="943">
        <f t="shared" si="70"/>
        <v>1.4260124157905242E-2</v>
      </c>
      <c r="AD19" s="734">
        <v>16</v>
      </c>
      <c r="AE19" s="146">
        <v>16</v>
      </c>
      <c r="AF19" s="347" t="s">
        <v>423</v>
      </c>
      <c r="AG19" s="369">
        <v>9.5299999999999994</v>
      </c>
      <c r="AQ19" s="734">
        <f t="shared" si="71"/>
        <v>16</v>
      </c>
      <c r="AR19" s="787">
        <f t="shared" si="1"/>
        <v>16</v>
      </c>
      <c r="AS19" s="518" t="s">
        <v>423</v>
      </c>
      <c r="AT19" s="518">
        <f t="shared" si="2"/>
        <v>9.5299999999999994</v>
      </c>
      <c r="AU19" s="788">
        <f t="shared" si="72"/>
        <v>10355780.714473739</v>
      </c>
      <c r="AV19" s="788">
        <f t="shared" si="99"/>
        <v>27414.052835815201</v>
      </c>
      <c r="AW19" s="789">
        <f t="shared" si="3"/>
        <v>28543.422797475261</v>
      </c>
      <c r="AX19" s="790">
        <f t="shared" si="4"/>
        <v>18.28923031912322</v>
      </c>
      <c r="AY19" s="358">
        <f t="shared" si="108"/>
        <v>522037.23363913747</v>
      </c>
      <c r="AZ19" s="35">
        <f t="shared" si="73"/>
        <v>1.4496942389048539E-2</v>
      </c>
      <c r="BA19" s="55">
        <f t="shared" si="5"/>
        <v>5.0410219999999999</v>
      </c>
      <c r="BL19" s="338">
        <f t="shared" si="100"/>
        <v>16</v>
      </c>
      <c r="BM19" s="322">
        <f t="shared" si="6"/>
        <v>16</v>
      </c>
      <c r="BN19" s="518" t="s">
        <v>423</v>
      </c>
      <c r="BO19" s="659">
        <f t="shared" si="7"/>
        <v>1.4496942389048539E-2</v>
      </c>
      <c r="BP19" s="358">
        <f t="shared" si="74"/>
        <v>113882.16513366201</v>
      </c>
      <c r="BQ19" s="659">
        <f t="shared" si="8"/>
        <v>4.7107306517117668E-3</v>
      </c>
      <c r="BR19" s="358">
        <f t="shared" si="75"/>
        <v>37005.610671648123</v>
      </c>
      <c r="BS19" s="809">
        <f t="shared" si="9"/>
        <v>150887.77580531014</v>
      </c>
      <c r="BT19" s="810">
        <f t="shared" si="10"/>
        <v>1.457039</v>
      </c>
      <c r="BW19" s="1"/>
      <c r="BX19" s="10"/>
      <c r="BY19" s="10"/>
      <c r="BZ19" s="10"/>
      <c r="CA19" s="10"/>
      <c r="CB19" s="10"/>
      <c r="CC19" s="10"/>
      <c r="CD19" s="10"/>
      <c r="CE19" s="10"/>
      <c r="CI19" s="734">
        <f t="shared" si="101"/>
        <v>16</v>
      </c>
      <c r="CJ19" s="146">
        <f t="shared" si="12"/>
        <v>16</v>
      </c>
      <c r="CK19" s="518" t="s">
        <v>423</v>
      </c>
      <c r="CL19" s="344">
        <f t="shared" si="13"/>
        <v>4.7107306517117668E-3</v>
      </c>
      <c r="CM19" s="20">
        <f t="shared" si="14"/>
        <v>25222.383071787106</v>
      </c>
      <c r="CN19" s="344">
        <f t="shared" si="15"/>
        <v>2.0622269896696792E-2</v>
      </c>
      <c r="CO19" s="20">
        <f t="shared" si="16"/>
        <v>358850.7567832449</v>
      </c>
      <c r="CP19" s="20">
        <f t="shared" si="17"/>
        <v>384073.13985503203</v>
      </c>
      <c r="CQ19" s="344">
        <f t="shared" si="18"/>
        <v>1.6878353224071822E-2</v>
      </c>
      <c r="CR19" s="342">
        <f t="shared" si="19"/>
        <v>3.70878</v>
      </c>
      <c r="DE19" s="1"/>
      <c r="DH19" s="734">
        <v>16</v>
      </c>
      <c r="DI19" s="745">
        <f t="shared" si="20"/>
        <v>16</v>
      </c>
      <c r="DJ19" s="518" t="s">
        <v>423</v>
      </c>
      <c r="DK19" s="344">
        <f t="shared" si="21"/>
        <v>1.6878353224071822E-2</v>
      </c>
      <c r="DL19" s="20">
        <f t="shared" si="77"/>
        <v>5318.5189587285677</v>
      </c>
      <c r="DM19" s="344">
        <f t="shared" si="22"/>
        <v>2.0622269896696792E-2</v>
      </c>
      <c r="DN19" s="20">
        <f t="shared" si="23"/>
        <v>40216.186512127941</v>
      </c>
      <c r="DO19" s="344">
        <f t="shared" si="24"/>
        <v>4.7107306517117668E-3</v>
      </c>
      <c r="DP19" s="20">
        <f t="shared" si="25"/>
        <v>15295.175665060427</v>
      </c>
      <c r="DQ19" s="20">
        <f t="shared" si="78"/>
        <v>60829.881135916941</v>
      </c>
      <c r="DR19" s="344">
        <f t="shared" si="26"/>
        <v>1.1035654977736942E-2</v>
      </c>
      <c r="DS19" s="342">
        <f t="shared" si="27"/>
        <v>0.58740000000000003</v>
      </c>
      <c r="DW19" s="734">
        <f t="shared" si="102"/>
        <v>16</v>
      </c>
      <c r="DX19" s="745">
        <f t="shared" si="28"/>
        <v>16</v>
      </c>
      <c r="DY19" s="518" t="s">
        <v>423</v>
      </c>
      <c r="DZ19" s="344">
        <f t="shared" si="29"/>
        <v>2.0622269896696792E-2</v>
      </c>
      <c r="EA19" s="20">
        <f t="shared" si="30"/>
        <v>73978.17491915253</v>
      </c>
      <c r="EB19" s="342">
        <f t="shared" si="31"/>
        <v>0.71436599999999995</v>
      </c>
      <c r="EN19" s="734">
        <f t="shared" si="103"/>
        <v>16</v>
      </c>
      <c r="EO19" s="745">
        <f t="shared" si="32"/>
        <v>16</v>
      </c>
      <c r="EP19" s="518" t="s">
        <v>423</v>
      </c>
      <c r="EQ19" s="344">
        <f t="shared" si="33"/>
        <v>1.4260124157905242E-2</v>
      </c>
      <c r="ER19" s="20">
        <f t="shared" si="34"/>
        <v>101804.16554712605</v>
      </c>
      <c r="ES19" s="344">
        <f t="shared" si="35"/>
        <v>1.6878353224071822E-2</v>
      </c>
      <c r="ET19" s="20">
        <f t="shared" si="36"/>
        <v>16246.175101328554</v>
      </c>
      <c r="EU19" s="344">
        <f t="shared" si="37"/>
        <v>4.7107306517117668E-3</v>
      </c>
      <c r="EV19" s="20">
        <f t="shared" si="38"/>
        <v>12148.101956504697</v>
      </c>
      <c r="EW19" s="20">
        <f t="shared" si="39"/>
        <v>130198.4426049593</v>
      </c>
      <c r="EX19" s="344">
        <f t="shared" si="40"/>
        <v>1.2190363497776385E-2</v>
      </c>
      <c r="EY19" s="342">
        <f t="shared" si="41"/>
        <v>1.2572540000000001</v>
      </c>
      <c r="FI19" s="734">
        <f t="shared" si="104"/>
        <v>16</v>
      </c>
      <c r="FJ19" s="735">
        <f t="shared" si="42"/>
        <v>16</v>
      </c>
      <c r="FK19" s="518" t="s">
        <v>423</v>
      </c>
      <c r="FL19" s="344">
        <f t="shared" si="43"/>
        <v>1.4260124157905242E-2</v>
      </c>
      <c r="FM19" s="20">
        <f t="shared" si="44"/>
        <v>267999.47658939683</v>
      </c>
      <c r="FN19" s="342">
        <f t="shared" si="45"/>
        <v>2.5879219999999998</v>
      </c>
      <c r="FR19" s="734">
        <f t="shared" si="105"/>
        <v>16</v>
      </c>
      <c r="FS19" s="735">
        <v>16</v>
      </c>
      <c r="FT19" s="518" t="s">
        <v>423</v>
      </c>
      <c r="FU19" s="20">
        <f t="shared" si="46"/>
        <v>522037.23363913747</v>
      </c>
      <c r="FV19" s="20">
        <f t="shared" si="47"/>
        <v>150887.77580531014</v>
      </c>
      <c r="FW19" s="20">
        <f t="shared" si="48"/>
        <v>384073.13985503203</v>
      </c>
      <c r="FX19" s="20">
        <f t="shared" si="49"/>
        <v>60829.881135916941</v>
      </c>
      <c r="FY19" s="20">
        <f t="shared" si="50"/>
        <v>73978.17491915253</v>
      </c>
      <c r="FZ19" s="20">
        <f t="shared" si="51"/>
        <v>130198.4426049593</v>
      </c>
      <c r="GA19" s="20">
        <f t="shared" si="52"/>
        <v>267999.47658939683</v>
      </c>
      <c r="GB19" s="20">
        <f t="shared" si="53"/>
        <v>1590004.1245489053</v>
      </c>
      <c r="GC19" s="414">
        <f t="shared" si="54"/>
        <v>15.353783</v>
      </c>
      <c r="GG19" s="734">
        <f t="shared" si="79"/>
        <v>16</v>
      </c>
      <c r="GH19" s="735">
        <f t="shared" si="55"/>
        <v>16</v>
      </c>
      <c r="GI19" s="518" t="s">
        <v>423</v>
      </c>
      <c r="GJ19" s="342">
        <f t="shared" si="56"/>
        <v>5.0410219999999999</v>
      </c>
      <c r="GK19" s="342">
        <f t="shared" si="57"/>
        <v>1.457039</v>
      </c>
      <c r="GL19" s="342">
        <f t="shared" si="58"/>
        <v>3.70878</v>
      </c>
      <c r="GM19" s="342">
        <f t="shared" si="59"/>
        <v>0.58740000000000003</v>
      </c>
      <c r="GN19" s="342">
        <f t="shared" si="60"/>
        <v>0.71436599999999995</v>
      </c>
      <c r="GO19" s="342">
        <f t="shared" si="61"/>
        <v>1.2572540000000001</v>
      </c>
      <c r="GP19" s="342">
        <f t="shared" si="62"/>
        <v>2.5879219999999998</v>
      </c>
      <c r="GQ19" s="342">
        <f t="shared" si="63"/>
        <v>15.353783</v>
      </c>
      <c r="GR19" s="788">
        <f t="shared" si="80"/>
        <v>10355780.714473739</v>
      </c>
      <c r="GS19" s="716"/>
      <c r="GV19" s="718">
        <f t="shared" si="81"/>
        <v>16</v>
      </c>
      <c r="GW19" s="735">
        <v>16</v>
      </c>
      <c r="GX19" s="518" t="s">
        <v>423</v>
      </c>
      <c r="GY19" s="322" t="s">
        <v>397</v>
      </c>
      <c r="GZ19" s="924">
        <f t="shared" si="82"/>
        <v>1590004.1245489053</v>
      </c>
      <c r="HA19" s="788">
        <f t="shared" si="83"/>
        <v>10355780.714473739</v>
      </c>
      <c r="HB19" s="922">
        <f t="shared" si="109"/>
        <v>15.353783</v>
      </c>
      <c r="HC19" s="942">
        <f t="shared" si="85"/>
        <v>1590004.0988561476</v>
      </c>
      <c r="HD19" s="858">
        <v>4.8506769118830562E-2</v>
      </c>
      <c r="HE19" s="54"/>
      <c r="HH19" s="54"/>
      <c r="HI19" s="54"/>
      <c r="HJ19" s="54"/>
      <c r="HK19" s="54"/>
      <c r="HL19" s="54"/>
      <c r="HM19" s="54"/>
      <c r="HN19" s="54"/>
      <c r="HQ19" s="734">
        <v>16</v>
      </c>
      <c r="HR19" s="869">
        <v>16</v>
      </c>
      <c r="HS19" s="518" t="s">
        <v>423</v>
      </c>
      <c r="HT19" s="788">
        <f t="shared" si="86"/>
        <v>10355780.714473739</v>
      </c>
      <c r="HU19" s="917">
        <f t="shared" si="87"/>
        <v>15.353783</v>
      </c>
      <c r="HV19" s="870"/>
      <c r="HW19" s="768"/>
      <c r="HX19" s="870">
        <v>-2.936674</v>
      </c>
      <c r="HY19" s="769">
        <v>25</v>
      </c>
      <c r="IP19" s="734">
        <v>16</v>
      </c>
      <c r="IQ19" s="869">
        <v>16</v>
      </c>
      <c r="IR19" s="518" t="s">
        <v>423</v>
      </c>
      <c r="IS19" s="913">
        <f t="shared" si="106"/>
        <v>1590004.0988561476</v>
      </c>
      <c r="IT19" s="915">
        <f t="shared" si="88"/>
        <v>10355780.714473739</v>
      </c>
      <c r="IU19" s="919">
        <f t="shared" si="89"/>
        <v>15.353783</v>
      </c>
      <c r="IV19" s="904">
        <f t="shared" si="114"/>
        <v>1518685.0578915752</v>
      </c>
      <c r="IW19" s="904">
        <f t="shared" si="91"/>
        <v>8837095.6565821636</v>
      </c>
      <c r="IX19" s="913">
        <f t="shared" si="115"/>
        <v>22780.275868373625</v>
      </c>
      <c r="IY19" s="882">
        <f t="shared" si="93"/>
        <v>1567223.8229877739</v>
      </c>
      <c r="IZ19" s="928">
        <f t="shared" si="116"/>
        <v>15.13380657816891</v>
      </c>
      <c r="JA19" s="928">
        <f t="shared" si="117"/>
        <v>16.633806578168908</v>
      </c>
      <c r="JB19" s="913">
        <f t="shared" si="107"/>
        <v>1590004.0988561476</v>
      </c>
      <c r="JC19" s="883">
        <v>0.22223353732126583</v>
      </c>
      <c r="JG19" s="734">
        <v>16</v>
      </c>
      <c r="JH19" s="869">
        <v>16</v>
      </c>
      <c r="JI19" s="518" t="s">
        <v>423</v>
      </c>
      <c r="JJ19" s="788">
        <f t="shared" si="96"/>
        <v>10355780.714473739</v>
      </c>
      <c r="JK19" s="917">
        <f t="shared" si="97"/>
        <v>15.13380657816891</v>
      </c>
      <c r="JL19" s="870">
        <v>18.120999999999999</v>
      </c>
      <c r="JM19" s="768"/>
      <c r="JN19" s="870"/>
      <c r="JO19" s="769">
        <v>25</v>
      </c>
      <c r="JT19" s="936">
        <v>4.4647209265402585</v>
      </c>
      <c r="JU19" s="936">
        <f t="shared" si="64"/>
        <v>-2.2078651628649304E-2</v>
      </c>
      <c r="JV19" s="13">
        <v>538975887</v>
      </c>
      <c r="JW19" s="13">
        <f t="shared" si="65"/>
        <v>3998984.3983106613</v>
      </c>
    </row>
    <row r="20" spans="3:294" x14ac:dyDescent="0.3">
      <c r="J20" s="756">
        <v>17</v>
      </c>
      <c r="K20" s="757">
        <v>17</v>
      </c>
      <c r="L20" s="732" t="s">
        <v>424</v>
      </c>
      <c r="M20" s="904">
        <v>542974871.39831066</v>
      </c>
      <c r="N20" s="944">
        <f t="shared" si="66"/>
        <v>0.24699329199104805</v>
      </c>
      <c r="O20" s="753">
        <v>1278.7476178425782</v>
      </c>
      <c r="P20" s="948">
        <f t="shared" si="67"/>
        <v>424614.57118049881</v>
      </c>
      <c r="Q20" s="733">
        <f t="shared" si="68"/>
        <v>0.24266418652872271</v>
      </c>
      <c r="R20" s="758" t="s">
        <v>397</v>
      </c>
      <c r="V20" s="730">
        <f t="shared" si="98"/>
        <v>17</v>
      </c>
      <c r="W20" s="731">
        <f t="shared" si="0"/>
        <v>17</v>
      </c>
      <c r="X20" s="732" t="s">
        <v>424</v>
      </c>
      <c r="Y20" s="924">
        <f t="shared" si="69"/>
        <v>18839445.48506726</v>
      </c>
      <c r="Z20" s="944">
        <f t="shared" si="70"/>
        <v>0.22541654043765044</v>
      </c>
      <c r="AD20" s="730">
        <v>17</v>
      </c>
      <c r="AE20" s="746">
        <v>17</v>
      </c>
      <c r="AF20" s="747" t="s">
        <v>424</v>
      </c>
      <c r="AG20" s="748">
        <v>2.61</v>
      </c>
      <c r="AQ20" s="730">
        <f t="shared" si="71"/>
        <v>17</v>
      </c>
      <c r="AR20" s="783">
        <f t="shared" si="1"/>
        <v>17</v>
      </c>
      <c r="AS20" s="732" t="s">
        <v>424</v>
      </c>
      <c r="AT20" s="732">
        <f t="shared" si="2"/>
        <v>2.61</v>
      </c>
      <c r="AU20" s="784">
        <f t="shared" si="72"/>
        <v>542974871.39831066</v>
      </c>
      <c r="AV20" s="784">
        <f t="shared" si="99"/>
        <v>393656.78176377522</v>
      </c>
      <c r="AW20" s="785">
        <f t="shared" si="3"/>
        <v>409874.16294380085</v>
      </c>
      <c r="AX20" s="786">
        <f t="shared" si="4"/>
        <v>18.28923031912322</v>
      </c>
      <c r="AY20" s="379">
        <f t="shared" si="108"/>
        <v>7496282.9679370141</v>
      </c>
      <c r="AZ20" s="51">
        <f t="shared" si="73"/>
        <v>0.20817132441037706</v>
      </c>
      <c r="BA20" s="53">
        <f t="shared" si="5"/>
        <v>1.380595</v>
      </c>
      <c r="BL20" s="756">
        <f t="shared" si="100"/>
        <v>17</v>
      </c>
      <c r="BM20" s="758">
        <f t="shared" si="6"/>
        <v>17</v>
      </c>
      <c r="BN20" s="732" t="s">
        <v>424</v>
      </c>
      <c r="BO20" s="733">
        <f t="shared" si="7"/>
        <v>0.20817132441037706</v>
      </c>
      <c r="BP20" s="379">
        <f t="shared" si="74"/>
        <v>1635310.4334955986</v>
      </c>
      <c r="BQ20" s="733">
        <f t="shared" si="8"/>
        <v>0.24699329199104805</v>
      </c>
      <c r="BR20" s="379">
        <f t="shared" si="75"/>
        <v>1940280.2405202517</v>
      </c>
      <c r="BS20" s="807">
        <f t="shared" si="9"/>
        <v>3575590.6740158503</v>
      </c>
      <c r="BT20" s="808">
        <f t="shared" si="10"/>
        <v>0.65851899999999997</v>
      </c>
      <c r="BW20" s="1"/>
      <c r="BX20" s="10"/>
      <c r="BY20" s="10"/>
      <c r="BZ20" s="10"/>
      <c r="CA20" s="10"/>
      <c r="CB20" s="10"/>
      <c r="CC20" s="10"/>
      <c r="CD20" s="10"/>
      <c r="CE20" s="10"/>
      <c r="CI20" s="730">
        <f t="shared" si="101"/>
        <v>17</v>
      </c>
      <c r="CJ20" s="746">
        <f t="shared" si="12"/>
        <v>17</v>
      </c>
      <c r="CK20" s="732" t="s">
        <v>424</v>
      </c>
      <c r="CL20" s="733">
        <f t="shared" si="13"/>
        <v>0.24699329199104805</v>
      </c>
      <c r="CM20" s="379">
        <f t="shared" si="14"/>
        <v>1322461.3944964642</v>
      </c>
      <c r="CN20" s="733">
        <f t="shared" si="15"/>
        <v>0.24266418652872271</v>
      </c>
      <c r="CO20" s="379">
        <f t="shared" si="16"/>
        <v>4222630.5550375367</v>
      </c>
      <c r="CP20" s="379">
        <f t="shared" si="17"/>
        <v>5545091.9495340008</v>
      </c>
      <c r="CQ20" s="733">
        <f t="shared" si="18"/>
        <v>0.24368280640379619</v>
      </c>
      <c r="CR20" s="808">
        <f t="shared" si="19"/>
        <v>1.0212429999999999</v>
      </c>
      <c r="DE20" s="1"/>
      <c r="DH20" s="730">
        <v>17</v>
      </c>
      <c r="DI20" s="840">
        <f t="shared" si="20"/>
        <v>17</v>
      </c>
      <c r="DJ20" s="732" t="s">
        <v>424</v>
      </c>
      <c r="DK20" s="733">
        <f t="shared" si="21"/>
        <v>0.24368280640379619</v>
      </c>
      <c r="DL20" s="379">
        <f t="shared" si="77"/>
        <v>76786.615884207204</v>
      </c>
      <c r="DM20" s="733">
        <f t="shared" si="22"/>
        <v>0.24266418652872271</v>
      </c>
      <c r="DN20" s="379">
        <f t="shared" si="23"/>
        <v>473227.64342329191</v>
      </c>
      <c r="DO20" s="733">
        <f t="shared" si="24"/>
        <v>0.24699329199104805</v>
      </c>
      <c r="DP20" s="379">
        <f t="shared" si="25"/>
        <v>801957.50264810375</v>
      </c>
      <c r="DQ20" s="379">
        <f t="shared" si="78"/>
        <v>1351971.761955603</v>
      </c>
      <c r="DR20" s="733">
        <f t="shared" si="26"/>
        <v>0.24527244876984808</v>
      </c>
      <c r="DS20" s="808">
        <f t="shared" si="27"/>
        <v>0.24899299999999999</v>
      </c>
      <c r="DW20" s="730">
        <f t="shared" si="102"/>
        <v>17</v>
      </c>
      <c r="DX20" s="840">
        <f t="shared" si="28"/>
        <v>17</v>
      </c>
      <c r="DY20" s="732" t="s">
        <v>424</v>
      </c>
      <c r="DZ20" s="733">
        <f t="shared" si="29"/>
        <v>0.24266418652872271</v>
      </c>
      <c r="EA20" s="379">
        <f t="shared" si="30"/>
        <v>870508.13162479142</v>
      </c>
      <c r="EB20" s="808">
        <f t="shared" si="31"/>
        <v>0.16032199999999999</v>
      </c>
      <c r="EN20" s="730">
        <f t="shared" si="103"/>
        <v>17</v>
      </c>
      <c r="EO20" s="840">
        <f t="shared" si="32"/>
        <v>17</v>
      </c>
      <c r="EP20" s="732" t="s">
        <v>424</v>
      </c>
      <c r="EQ20" s="733">
        <f t="shared" si="33"/>
        <v>0.22541654043765044</v>
      </c>
      <c r="ER20" s="379">
        <f t="shared" si="34"/>
        <v>1609266.6898032131</v>
      </c>
      <c r="ES20" s="733">
        <f t="shared" si="35"/>
        <v>0.24368280640379619</v>
      </c>
      <c r="ET20" s="379">
        <f t="shared" si="36"/>
        <v>234555.67551300192</v>
      </c>
      <c r="EU20" s="733">
        <f t="shared" si="37"/>
        <v>0.24699329199104805</v>
      </c>
      <c r="EV20" s="379">
        <f t="shared" si="38"/>
        <v>636949.95862046944</v>
      </c>
      <c r="EW20" s="379">
        <f t="shared" si="39"/>
        <v>2480772.3239366845</v>
      </c>
      <c r="EX20" s="733">
        <f t="shared" si="40"/>
        <v>0.23227248943191081</v>
      </c>
      <c r="EY20" s="808">
        <f t="shared" si="41"/>
        <v>0.45688499999999999</v>
      </c>
      <c r="FI20" s="730">
        <f t="shared" si="104"/>
        <v>17</v>
      </c>
      <c r="FJ20" s="731">
        <f t="shared" si="42"/>
        <v>17</v>
      </c>
      <c r="FK20" s="732" t="s">
        <v>424</v>
      </c>
      <c r="FL20" s="733">
        <f t="shared" si="43"/>
        <v>0.22541654043765044</v>
      </c>
      <c r="FM20" s="379">
        <f t="shared" si="44"/>
        <v>4236394.7314156583</v>
      </c>
      <c r="FN20" s="808">
        <f t="shared" si="45"/>
        <v>0.780219</v>
      </c>
      <c r="FR20" s="730">
        <f t="shared" si="105"/>
        <v>17</v>
      </c>
      <c r="FS20" s="731">
        <v>17</v>
      </c>
      <c r="FT20" s="732" t="s">
        <v>424</v>
      </c>
      <c r="FU20" s="379">
        <f t="shared" si="46"/>
        <v>7496282.9679370141</v>
      </c>
      <c r="FV20" s="379">
        <f t="shared" si="47"/>
        <v>3575590.6740158503</v>
      </c>
      <c r="FW20" s="379">
        <f t="shared" si="48"/>
        <v>5545091.9495340008</v>
      </c>
      <c r="FX20" s="379">
        <f t="shared" si="49"/>
        <v>1351971.761955603</v>
      </c>
      <c r="FY20" s="379">
        <f t="shared" si="50"/>
        <v>870508.13162479142</v>
      </c>
      <c r="FZ20" s="379">
        <f t="shared" si="51"/>
        <v>2480772.3239366845</v>
      </c>
      <c r="GA20" s="379">
        <f t="shared" si="52"/>
        <v>4236394.7314156583</v>
      </c>
      <c r="GB20" s="379">
        <f t="shared" si="53"/>
        <v>25556612.540419605</v>
      </c>
      <c r="GC20" s="852">
        <f t="shared" si="54"/>
        <v>4.7067759999999996</v>
      </c>
      <c r="GG20" s="730">
        <f t="shared" si="79"/>
        <v>17</v>
      </c>
      <c r="GH20" s="731">
        <f t="shared" si="55"/>
        <v>17</v>
      </c>
      <c r="GI20" s="732" t="s">
        <v>424</v>
      </c>
      <c r="GJ20" s="808">
        <f t="shared" si="56"/>
        <v>1.380595</v>
      </c>
      <c r="GK20" s="808">
        <f t="shared" si="57"/>
        <v>0.65851899999999997</v>
      </c>
      <c r="GL20" s="808">
        <f t="shared" si="58"/>
        <v>1.0212429999999999</v>
      </c>
      <c r="GM20" s="808">
        <f t="shared" si="59"/>
        <v>0.24899299999999999</v>
      </c>
      <c r="GN20" s="808">
        <f t="shared" si="60"/>
        <v>0.16032199999999999</v>
      </c>
      <c r="GO20" s="808">
        <f t="shared" si="61"/>
        <v>0.45688499999999999</v>
      </c>
      <c r="GP20" s="808">
        <f t="shared" si="62"/>
        <v>0.780219</v>
      </c>
      <c r="GQ20" s="808">
        <f t="shared" si="63"/>
        <v>4.7067759999999996</v>
      </c>
      <c r="GR20" s="784">
        <f t="shared" si="80"/>
        <v>542974871.39831066</v>
      </c>
      <c r="GS20" s="716"/>
      <c r="GV20" s="717">
        <f t="shared" si="81"/>
        <v>17</v>
      </c>
      <c r="GW20" s="731">
        <v>17</v>
      </c>
      <c r="GX20" s="732" t="s">
        <v>424</v>
      </c>
      <c r="GY20" s="758" t="s">
        <v>397</v>
      </c>
      <c r="GZ20" s="906">
        <f t="shared" si="82"/>
        <v>25556612.540419605</v>
      </c>
      <c r="HA20" s="784">
        <f t="shared" si="83"/>
        <v>542974871.39831066</v>
      </c>
      <c r="HB20" s="922">
        <f t="shared" si="109"/>
        <v>4.7067759999999996</v>
      </c>
      <c r="HC20" s="942">
        <f t="shared" si="85"/>
        <v>25556610.933006547</v>
      </c>
      <c r="HD20" s="857">
        <v>0.65198250114917755</v>
      </c>
      <c r="HE20" s="54"/>
      <c r="HH20" s="54"/>
      <c r="HI20" s="54"/>
      <c r="HJ20" s="54"/>
      <c r="HK20" s="54"/>
      <c r="HL20" s="54"/>
      <c r="HM20" s="54"/>
      <c r="HN20" s="54"/>
      <c r="HQ20" s="730">
        <v>17</v>
      </c>
      <c r="HR20" s="867">
        <v>17</v>
      </c>
      <c r="HS20" s="732" t="s">
        <v>424</v>
      </c>
      <c r="HT20" s="784">
        <f t="shared" si="86"/>
        <v>542974871.39831066</v>
      </c>
      <c r="HU20" s="917">
        <f t="shared" si="87"/>
        <v>4.7067759999999996</v>
      </c>
      <c r="HV20" s="868"/>
      <c r="HW20" s="765"/>
      <c r="HX20" s="868">
        <v>-0.96015999999999924</v>
      </c>
      <c r="HY20" s="766">
        <v>10</v>
      </c>
      <c r="IP20" s="730">
        <v>17</v>
      </c>
      <c r="IQ20" s="867">
        <v>17</v>
      </c>
      <c r="IR20" s="732" t="s">
        <v>424</v>
      </c>
      <c r="IS20" s="913">
        <f t="shared" si="106"/>
        <v>25556610.933006547</v>
      </c>
      <c r="IT20" s="915">
        <f t="shared" si="88"/>
        <v>542974871.39831066</v>
      </c>
      <c r="IU20" s="918">
        <f t="shared" si="89"/>
        <v>4.7067759999999996</v>
      </c>
      <c r="IV20" s="904">
        <f t="shared" si="114"/>
        <v>79627779.569598481</v>
      </c>
      <c r="IW20" s="904">
        <f t="shared" si="91"/>
        <v>463347091.82871217</v>
      </c>
      <c r="IX20" s="913">
        <f t="shared" si="115"/>
        <v>1194416.6935439771</v>
      </c>
      <c r="IY20" s="881">
        <f t="shared" si="93"/>
        <v>24362194.239462569</v>
      </c>
      <c r="IZ20" s="928">
        <f t="shared" si="116"/>
        <v>4.4867995781689078</v>
      </c>
      <c r="JA20" s="928">
        <f t="shared" si="117"/>
        <v>5.9867995781689078</v>
      </c>
      <c r="JB20" s="913">
        <f t="shared" si="107"/>
        <v>25556610.933006547</v>
      </c>
      <c r="JC20" s="852">
        <v>0.22223321089288017</v>
      </c>
      <c r="JG20" s="730">
        <v>17</v>
      </c>
      <c r="JH20" s="867">
        <v>17</v>
      </c>
      <c r="JI20" s="732" t="s">
        <v>424</v>
      </c>
      <c r="JJ20" s="784">
        <f t="shared" si="96"/>
        <v>542974871.39831066</v>
      </c>
      <c r="JK20" s="917">
        <f t="shared" si="97"/>
        <v>4.4867995781689078</v>
      </c>
      <c r="JL20" s="868">
        <v>5.4630000000000001</v>
      </c>
      <c r="JM20" s="765"/>
      <c r="JN20" s="868"/>
      <c r="JO20" s="766">
        <v>10</v>
      </c>
      <c r="JT20" s="936">
        <v>12.928700926540257</v>
      </c>
      <c r="JU20" s="936">
        <f t="shared" si="64"/>
        <v>-7.2420651628650745E-2</v>
      </c>
      <c r="JV20" s="13">
        <v>54165023</v>
      </c>
      <c r="JW20" s="13">
        <f t="shared" si="65"/>
        <v>25062.666296094656</v>
      </c>
    </row>
    <row r="21" spans="3:294" x14ac:dyDescent="0.3">
      <c r="J21" s="338">
        <v>18</v>
      </c>
      <c r="K21" s="759">
        <v>18</v>
      </c>
      <c r="L21" s="518" t="s">
        <v>425</v>
      </c>
      <c r="M21" s="904">
        <v>54190085.666296095</v>
      </c>
      <c r="N21" s="943">
        <f t="shared" si="66"/>
        <v>2.465047345105743E-2</v>
      </c>
      <c r="O21" s="455">
        <v>358.03166090709647</v>
      </c>
      <c r="P21" s="948">
        <f t="shared" si="67"/>
        <v>151355.56874775264</v>
      </c>
      <c r="Q21" s="659">
        <f t="shared" si="68"/>
        <v>8.6498623597993901E-2</v>
      </c>
      <c r="R21" s="322" t="s">
        <v>397</v>
      </c>
      <c r="V21" s="734">
        <f t="shared" si="98"/>
        <v>18</v>
      </c>
      <c r="W21" s="735">
        <f t="shared" si="0"/>
        <v>18</v>
      </c>
      <c r="X21" s="518" t="s">
        <v>425</v>
      </c>
      <c r="Y21" s="924">
        <f t="shared" si="69"/>
        <v>5366531.4272283949</v>
      </c>
      <c r="Z21" s="943">
        <f t="shared" si="70"/>
        <v>6.4211282090791993E-2</v>
      </c>
      <c r="AD21" s="734">
        <v>18</v>
      </c>
      <c r="AE21" s="146">
        <v>18</v>
      </c>
      <c r="AF21" s="347" t="s">
        <v>425</v>
      </c>
      <c r="AG21" s="369">
        <v>8.4600000000000009</v>
      </c>
      <c r="AQ21" s="734">
        <f t="shared" si="71"/>
        <v>18</v>
      </c>
      <c r="AR21" s="787">
        <f t="shared" si="1"/>
        <v>18</v>
      </c>
      <c r="AS21" s="518" t="s">
        <v>425</v>
      </c>
      <c r="AT21" s="518">
        <f t="shared" si="2"/>
        <v>8.4600000000000009</v>
      </c>
      <c r="AU21" s="788">
        <f t="shared" si="72"/>
        <v>54190085.666296095</v>
      </c>
      <c r="AV21" s="788">
        <f>AU21*AT21/3600</f>
        <v>127346.70131579583</v>
      </c>
      <c r="AW21" s="789">
        <f t="shared" si="3"/>
        <v>132592.9719071569</v>
      </c>
      <c r="AX21" s="790">
        <f t="shared" si="4"/>
        <v>18.28923031912322</v>
      </c>
      <c r="AY21" s="358">
        <f t="shared" si="108"/>
        <v>2425023.4019070272</v>
      </c>
      <c r="AZ21" s="35">
        <f t="shared" si="73"/>
        <v>6.7342753129831637E-2</v>
      </c>
      <c r="BA21" s="55">
        <f t="shared" si="5"/>
        <v>4.4750310000000004</v>
      </c>
      <c r="BL21" s="338">
        <f t="shared" si="100"/>
        <v>18</v>
      </c>
      <c r="BM21" s="322">
        <f t="shared" si="6"/>
        <v>18</v>
      </c>
      <c r="BN21" s="518" t="s">
        <v>425</v>
      </c>
      <c r="BO21" s="659">
        <f t="shared" si="7"/>
        <v>6.7342753129831637E-2</v>
      </c>
      <c r="BP21" s="358">
        <f t="shared" si="74"/>
        <v>529017.65949490399</v>
      </c>
      <c r="BQ21" s="659">
        <f t="shared" si="8"/>
        <v>2.465047345105743E-2</v>
      </c>
      <c r="BR21" s="358">
        <f t="shared" si="75"/>
        <v>193644.23288989277</v>
      </c>
      <c r="BS21" s="809">
        <f t="shared" si="9"/>
        <v>722661.89238479675</v>
      </c>
      <c r="BT21" s="810">
        <f>IF($AU21=0,0,ROUND(IF(VLOOKUP(BM21,$AR$4:$AU$27,$BA$30,FALSE)&lt;&gt;0,BS21/VLOOKUP(BM21,$AR$4:$AU$27,$BA$30,FALSE)*100,""),6))</f>
        <v>1.3335680000000001</v>
      </c>
      <c r="BW21" s="1"/>
      <c r="BX21" s="10"/>
      <c r="BY21" s="10"/>
      <c r="BZ21" s="10"/>
      <c r="CA21" s="10"/>
      <c r="CB21" s="10"/>
      <c r="CC21" s="10"/>
      <c r="CD21" s="10"/>
      <c r="CE21" s="10"/>
      <c r="CI21" s="734">
        <f t="shared" si="101"/>
        <v>18</v>
      </c>
      <c r="CJ21" s="146">
        <f t="shared" si="12"/>
        <v>18</v>
      </c>
      <c r="CK21" s="518" t="s">
        <v>425</v>
      </c>
      <c r="CL21" s="344">
        <f t="shared" si="13"/>
        <v>2.465047345105743E-2</v>
      </c>
      <c r="CM21" s="20">
        <f t="shared" si="14"/>
        <v>131984.55404313165</v>
      </c>
      <c r="CN21" s="344">
        <f t="shared" si="15"/>
        <v>8.6498623597993901E-2</v>
      </c>
      <c r="CO21" s="20">
        <f t="shared" si="16"/>
        <v>1505173.6154331421</v>
      </c>
      <c r="CP21" s="20">
        <f t="shared" si="17"/>
        <v>1637158.1694762737</v>
      </c>
      <c r="CQ21" s="344">
        <f t="shared" si="18"/>
        <v>7.1946020173462938E-2</v>
      </c>
      <c r="CR21" s="342">
        <f t="shared" si="19"/>
        <v>3.0211399999999999</v>
      </c>
      <c r="DE21" s="1"/>
      <c r="DH21" s="734">
        <v>18</v>
      </c>
      <c r="DI21" s="745">
        <f t="shared" si="20"/>
        <v>18</v>
      </c>
      <c r="DJ21" s="518" t="s">
        <v>425</v>
      </c>
      <c r="DK21" s="344">
        <f t="shared" si="21"/>
        <v>7.1946020173462938E-2</v>
      </c>
      <c r="DL21" s="20">
        <f t="shared" si="77"/>
        <v>22670.8297437396</v>
      </c>
      <c r="DM21" s="344">
        <f t="shared" si="22"/>
        <v>8.6498623597993901E-2</v>
      </c>
      <c r="DN21" s="20">
        <f t="shared" si="23"/>
        <v>168683.89353280998</v>
      </c>
      <c r="DO21" s="344">
        <f t="shared" si="24"/>
        <v>2.465047345105743E-2</v>
      </c>
      <c r="DP21" s="20">
        <f t="shared" si="25"/>
        <v>80037.121528870877</v>
      </c>
      <c r="DQ21" s="20">
        <f t="shared" si="78"/>
        <v>271391.84480542043</v>
      </c>
      <c r="DR21" s="344">
        <f t="shared" si="26"/>
        <v>4.9235453154219018E-2</v>
      </c>
      <c r="DS21" s="342">
        <f t="shared" si="27"/>
        <v>0.50081500000000001</v>
      </c>
      <c r="DW21" s="734">
        <f t="shared" si="102"/>
        <v>18</v>
      </c>
      <c r="DX21" s="745">
        <f t="shared" si="28"/>
        <v>18</v>
      </c>
      <c r="DY21" s="518" t="s">
        <v>425</v>
      </c>
      <c r="DZ21" s="344">
        <f t="shared" si="29"/>
        <v>8.6498623597993901E-2</v>
      </c>
      <c r="EA21" s="20">
        <f t="shared" si="30"/>
        <v>310296.11865487706</v>
      </c>
      <c r="EB21" s="342">
        <f t="shared" si="31"/>
        <v>0.57260699999999998</v>
      </c>
      <c r="EN21" s="734">
        <f t="shared" si="103"/>
        <v>18</v>
      </c>
      <c r="EO21" s="745">
        <f t="shared" si="32"/>
        <v>18</v>
      </c>
      <c r="EP21" s="518" t="s">
        <v>425</v>
      </c>
      <c r="EQ21" s="344">
        <f t="shared" si="33"/>
        <v>6.4211282090791993E-2</v>
      </c>
      <c r="ER21" s="20">
        <f t="shared" si="34"/>
        <v>458409.47242667311</v>
      </c>
      <c r="ES21" s="344">
        <f t="shared" si="35"/>
        <v>7.1946020173462938E-2</v>
      </c>
      <c r="ET21" s="20">
        <f t="shared" si="36"/>
        <v>69251.284533777318</v>
      </c>
      <c r="EU21" s="344">
        <f t="shared" si="37"/>
        <v>2.465047345105743E-2</v>
      </c>
      <c r="EV21" s="20">
        <f t="shared" si="38"/>
        <v>63569.00593557446</v>
      </c>
      <c r="EW21" s="20">
        <f t="shared" si="39"/>
        <v>591229.76289602485</v>
      </c>
      <c r="EX21" s="344">
        <f t="shared" si="40"/>
        <v>5.5356312842194937E-2</v>
      </c>
      <c r="EY21" s="342">
        <f t="shared" si="41"/>
        <v>1.091029</v>
      </c>
      <c r="FI21" s="734">
        <f t="shared" si="104"/>
        <v>18</v>
      </c>
      <c r="FJ21" s="735">
        <f t="shared" si="42"/>
        <v>18</v>
      </c>
      <c r="FK21" s="518" t="s">
        <v>425</v>
      </c>
      <c r="FL21" s="344">
        <f t="shared" si="43"/>
        <v>6.4211282090791993E-2</v>
      </c>
      <c r="FM21" s="20">
        <f t="shared" si="44"/>
        <v>1206762.9847336644</v>
      </c>
      <c r="FN21" s="342">
        <f t="shared" si="45"/>
        <v>2.2269070000000002</v>
      </c>
      <c r="FR21" s="734">
        <f t="shared" si="105"/>
        <v>18</v>
      </c>
      <c r="FS21" s="735">
        <v>18</v>
      </c>
      <c r="FT21" s="518" t="s">
        <v>425</v>
      </c>
      <c r="FU21" s="20">
        <f t="shared" si="46"/>
        <v>2425023.4019070272</v>
      </c>
      <c r="FV21" s="20">
        <f t="shared" si="47"/>
        <v>722661.89238479675</v>
      </c>
      <c r="FW21" s="20">
        <f t="shared" si="48"/>
        <v>1637158.1694762737</v>
      </c>
      <c r="FX21" s="20">
        <f t="shared" si="49"/>
        <v>271391.84480542043</v>
      </c>
      <c r="FY21" s="20">
        <f t="shared" si="50"/>
        <v>310296.11865487706</v>
      </c>
      <c r="FZ21" s="20">
        <f t="shared" si="51"/>
        <v>591229.76289602485</v>
      </c>
      <c r="GA21" s="20">
        <f t="shared" si="52"/>
        <v>1206762.9847336644</v>
      </c>
      <c r="GB21" s="20">
        <f t="shared" si="53"/>
        <v>7164524.1748580839</v>
      </c>
      <c r="GC21" s="414">
        <f t="shared" si="54"/>
        <v>13.221098</v>
      </c>
      <c r="GG21" s="734">
        <f t="shared" si="79"/>
        <v>18</v>
      </c>
      <c r="GH21" s="735">
        <f t="shared" si="55"/>
        <v>18</v>
      </c>
      <c r="GI21" s="518" t="s">
        <v>425</v>
      </c>
      <c r="GJ21" s="342">
        <f t="shared" si="56"/>
        <v>4.4750310000000004</v>
      </c>
      <c r="GK21" s="342">
        <f t="shared" si="57"/>
        <v>1.3335680000000001</v>
      </c>
      <c r="GL21" s="342">
        <f t="shared" si="58"/>
        <v>3.0211399999999999</v>
      </c>
      <c r="GM21" s="342">
        <f t="shared" si="59"/>
        <v>0.50081500000000001</v>
      </c>
      <c r="GN21" s="342">
        <f t="shared" si="60"/>
        <v>0.57260699999999998</v>
      </c>
      <c r="GO21" s="342">
        <f t="shared" si="61"/>
        <v>1.091029</v>
      </c>
      <c r="GP21" s="342">
        <f t="shared" si="62"/>
        <v>2.2269070000000002</v>
      </c>
      <c r="GQ21" s="342">
        <f t="shared" si="63"/>
        <v>13.221098</v>
      </c>
      <c r="GR21" s="788">
        <f t="shared" si="80"/>
        <v>54190085.666296095</v>
      </c>
      <c r="GS21" s="716"/>
      <c r="GV21" s="718">
        <f t="shared" si="81"/>
        <v>18</v>
      </c>
      <c r="GW21" s="735">
        <v>18</v>
      </c>
      <c r="GX21" s="518" t="s">
        <v>425</v>
      </c>
      <c r="GY21" s="322" t="s">
        <v>397</v>
      </c>
      <c r="GZ21" s="924">
        <f t="shared" si="82"/>
        <v>7164524.1748580839</v>
      </c>
      <c r="HA21" s="788">
        <f t="shared" si="83"/>
        <v>54190085.666296095</v>
      </c>
      <c r="HB21" s="922">
        <f t="shared" si="109"/>
        <v>13.221098</v>
      </c>
      <c r="HC21" s="942">
        <f t="shared" si="85"/>
        <v>7164524.3322249595</v>
      </c>
      <c r="HD21" s="858">
        <v>-0.1446945620700717</v>
      </c>
      <c r="HE21" s="54"/>
      <c r="HH21" s="54"/>
      <c r="HI21" s="54"/>
      <c r="HJ21" s="54"/>
      <c r="HK21" s="54"/>
      <c r="HL21" s="54"/>
      <c r="HM21" s="54"/>
      <c r="HN21" s="54"/>
      <c r="HQ21" s="734">
        <v>18</v>
      </c>
      <c r="HR21" s="869">
        <v>18</v>
      </c>
      <c r="HS21" s="518" t="s">
        <v>425</v>
      </c>
      <c r="HT21" s="788">
        <f t="shared" si="86"/>
        <v>54190085.666296095</v>
      </c>
      <c r="HU21" s="917">
        <f t="shared" si="87"/>
        <v>13.221098</v>
      </c>
      <c r="HV21" s="870"/>
      <c r="HW21" s="768"/>
      <c r="HX21" s="870">
        <v>-2.6237379999999995</v>
      </c>
      <c r="HY21" s="769">
        <v>25</v>
      </c>
      <c r="IP21" s="734">
        <v>18</v>
      </c>
      <c r="IQ21" s="869">
        <v>18</v>
      </c>
      <c r="IR21" s="518" t="s">
        <v>425</v>
      </c>
      <c r="IS21" s="913">
        <f t="shared" si="106"/>
        <v>7164524.3322249595</v>
      </c>
      <c r="IT21" s="915">
        <f t="shared" si="88"/>
        <v>54190085.666296095</v>
      </c>
      <c r="IU21" s="919">
        <f t="shared" si="89"/>
        <v>13.221098</v>
      </c>
      <c r="IV21" s="904">
        <f t="shared" si="114"/>
        <v>7947027.4290614417</v>
      </c>
      <c r="IW21" s="904">
        <f t="shared" si="91"/>
        <v>46243058.237234652</v>
      </c>
      <c r="IX21" s="913">
        <f t="shared" si="115"/>
        <v>119205.41143592162</v>
      </c>
      <c r="IY21" s="882">
        <f t="shared" si="93"/>
        <v>7045318.9207890378</v>
      </c>
      <c r="IZ21" s="928">
        <f t="shared" si="116"/>
        <v>13.001121578168908</v>
      </c>
      <c r="JA21" s="928">
        <f t="shared" si="117"/>
        <v>14.501121578168908</v>
      </c>
      <c r="JB21" s="913">
        <f t="shared" si="107"/>
        <v>7164524.3322249595</v>
      </c>
      <c r="JC21" s="883">
        <v>0.22223282548291756</v>
      </c>
      <c r="JG21" s="734">
        <v>18</v>
      </c>
      <c r="JH21" s="869">
        <v>18</v>
      </c>
      <c r="JI21" s="518" t="s">
        <v>425</v>
      </c>
      <c r="JJ21" s="788">
        <f t="shared" si="96"/>
        <v>54190085.666296095</v>
      </c>
      <c r="JK21" s="917">
        <f t="shared" si="97"/>
        <v>13.001121578168908</v>
      </c>
      <c r="JL21" s="870">
        <v>15.667</v>
      </c>
      <c r="JM21" s="768"/>
      <c r="JN21" s="870"/>
      <c r="JO21" s="769">
        <v>25</v>
      </c>
      <c r="JT21" s="936">
        <v>230.53352092654026</v>
      </c>
      <c r="JU21" s="936">
        <f t="shared" si="64"/>
        <v>-1.4421036516286847</v>
      </c>
      <c r="JV21" s="13">
        <v>2154</v>
      </c>
      <c r="JW21" s="13">
        <f t="shared" si="65"/>
        <v>1295.6253709013754</v>
      </c>
    </row>
    <row r="22" spans="3:294" x14ac:dyDescent="0.3">
      <c r="J22" s="756">
        <v>19</v>
      </c>
      <c r="K22" s="757">
        <v>19</v>
      </c>
      <c r="L22" s="732" t="s">
        <v>426</v>
      </c>
      <c r="M22" s="904">
        <v>3449.6253709013754</v>
      </c>
      <c r="N22" s="944">
        <f t="shared" si="66"/>
        <v>1.5691966081239571E-6</v>
      </c>
      <c r="O22" s="753">
        <v>14.771428571428572</v>
      </c>
      <c r="P22" s="948">
        <f t="shared" si="67"/>
        <v>233.53363245947415</v>
      </c>
      <c r="Q22" s="733">
        <f t="shared" si="68"/>
        <v>1.3346279848645639E-4</v>
      </c>
      <c r="R22" s="758" t="s">
        <v>397</v>
      </c>
      <c r="V22" s="730">
        <f t="shared" si="98"/>
        <v>19</v>
      </c>
      <c r="W22" s="731">
        <f t="shared" si="0"/>
        <v>19</v>
      </c>
      <c r="X22" s="732" t="s">
        <v>426</v>
      </c>
      <c r="Y22" s="924">
        <f t="shared" si="69"/>
        <v>6034.7320110350411</v>
      </c>
      <c r="Z22" s="944">
        <f t="shared" si="70"/>
        <v>7.2206393413972995E-5</v>
      </c>
      <c r="AD22" s="730">
        <v>19</v>
      </c>
      <c r="AE22" s="746">
        <v>19</v>
      </c>
      <c r="AF22" s="747" t="s">
        <v>426</v>
      </c>
      <c r="AG22" s="748">
        <v>131.15</v>
      </c>
      <c r="AQ22" s="730">
        <f t="shared" si="71"/>
        <v>19</v>
      </c>
      <c r="AR22" s="783">
        <f t="shared" si="1"/>
        <v>19</v>
      </c>
      <c r="AS22" s="732" t="s">
        <v>426</v>
      </c>
      <c r="AT22" s="732">
        <f t="shared" si="2"/>
        <v>131.15</v>
      </c>
      <c r="AU22" s="784">
        <f t="shared" si="72"/>
        <v>3449.6253709013754</v>
      </c>
      <c r="AV22" s="784">
        <f t="shared" si="99"/>
        <v>125.67176872047651</v>
      </c>
      <c r="AW22" s="785">
        <f t="shared" si="3"/>
        <v>130.84903752752322</v>
      </c>
      <c r="AX22" s="786">
        <f t="shared" si="4"/>
        <v>18.28923031912322</v>
      </c>
      <c r="AY22" s="379">
        <f t="shared" si="108"/>
        <v>2393.1281843764696</v>
      </c>
      <c r="AZ22" s="51">
        <f t="shared" si="73"/>
        <v>6.6457024869026601E-5</v>
      </c>
      <c r="BA22" s="53">
        <f t="shared" si="5"/>
        <v>69.373566999999994</v>
      </c>
      <c r="BL22" s="756">
        <f t="shared" si="100"/>
        <v>19</v>
      </c>
      <c r="BM22" s="758">
        <f t="shared" si="6"/>
        <v>19</v>
      </c>
      <c r="BN22" s="732" t="s">
        <v>426</v>
      </c>
      <c r="BO22" s="733">
        <f t="shared" si="7"/>
        <v>6.6457024869026601E-5</v>
      </c>
      <c r="BP22" s="379">
        <f t="shared" si="74"/>
        <v>522.059733516199</v>
      </c>
      <c r="BQ22" s="733">
        <f t="shared" si="8"/>
        <v>1.5691966081239571E-6</v>
      </c>
      <c r="BR22" s="379">
        <f t="shared" si="75"/>
        <v>12.326979197251498</v>
      </c>
      <c r="BS22" s="807">
        <f t="shared" si="9"/>
        <v>534.38671271345049</v>
      </c>
      <c r="BT22" s="808">
        <f t="shared" si="10"/>
        <v>15.491152</v>
      </c>
      <c r="BW22" s="1"/>
      <c r="BX22" s="10"/>
      <c r="BY22" s="10"/>
      <c r="BZ22" s="10"/>
      <c r="CA22" s="10"/>
      <c r="CB22" s="10"/>
      <c r="CC22" s="10"/>
      <c r="CD22" s="10"/>
      <c r="CE22" s="10"/>
      <c r="CI22" s="730">
        <f t="shared" si="101"/>
        <v>19</v>
      </c>
      <c r="CJ22" s="746">
        <f t="shared" si="12"/>
        <v>19</v>
      </c>
      <c r="CK22" s="732" t="s">
        <v>426</v>
      </c>
      <c r="CL22" s="733">
        <f t="shared" si="13"/>
        <v>1.5691966081239571E-6</v>
      </c>
      <c r="CM22" s="379">
        <f t="shared" si="14"/>
        <v>8.4018554426730852</v>
      </c>
      <c r="CN22" s="733">
        <f t="shared" si="15"/>
        <v>1.3346279848645639E-4</v>
      </c>
      <c r="CO22" s="379">
        <f t="shared" si="16"/>
        <v>2322.4032310306429</v>
      </c>
      <c r="CP22" s="379">
        <f t="shared" si="17"/>
        <v>2330.8050864733159</v>
      </c>
      <c r="CQ22" s="733">
        <f t="shared" si="18"/>
        <v>1.0242880187041663E-4</v>
      </c>
      <c r="CR22" s="808">
        <f t="shared" si="19"/>
        <v>67.566905000000006</v>
      </c>
      <c r="DE22" s="1"/>
      <c r="DH22" s="730">
        <v>19</v>
      </c>
      <c r="DI22" s="840">
        <f t="shared" si="20"/>
        <v>19</v>
      </c>
      <c r="DJ22" s="732" t="s">
        <v>426</v>
      </c>
      <c r="DK22" s="733">
        <f t="shared" si="21"/>
        <v>1.0242880187041663E-4</v>
      </c>
      <c r="DL22" s="379">
        <f t="shared" si="77"/>
        <v>32.27622490390327</v>
      </c>
      <c r="DM22" s="733">
        <f t="shared" si="22"/>
        <v>1.3346279848645639E-4</v>
      </c>
      <c r="DN22" s="379">
        <f t="shared" si="23"/>
        <v>260.27032054418044</v>
      </c>
      <c r="DO22" s="733">
        <f t="shared" si="24"/>
        <v>1.5691966081239571E-6</v>
      </c>
      <c r="DP22" s="379">
        <f t="shared" si="25"/>
        <v>5.0949925921898069</v>
      </c>
      <c r="DQ22" s="379">
        <f t="shared" si="78"/>
        <v>297.64153804027347</v>
      </c>
      <c r="DR22" s="733">
        <f t="shared" si="26"/>
        <v>5.399762846020085E-5</v>
      </c>
      <c r="DS22" s="808">
        <f t="shared" si="27"/>
        <v>8.628228</v>
      </c>
      <c r="DW22" s="730">
        <f t="shared" si="102"/>
        <v>19</v>
      </c>
      <c r="DX22" s="840">
        <f t="shared" si="28"/>
        <v>19</v>
      </c>
      <c r="DY22" s="732" t="s">
        <v>426</v>
      </c>
      <c r="DZ22" s="733">
        <f t="shared" si="29"/>
        <v>1.3346279848645639E-4</v>
      </c>
      <c r="EA22" s="379">
        <f t="shared" si="30"/>
        <v>478.77048943153221</v>
      </c>
      <c r="EB22" s="808">
        <f t="shared" si="31"/>
        <v>13.878913000000001</v>
      </c>
      <c r="EN22" s="730">
        <f t="shared" si="103"/>
        <v>19</v>
      </c>
      <c r="EO22" s="840">
        <f t="shared" si="32"/>
        <v>19</v>
      </c>
      <c r="EP22" s="732" t="s">
        <v>426</v>
      </c>
      <c r="EQ22" s="733">
        <f t="shared" si="33"/>
        <v>7.2206393413972995E-5</v>
      </c>
      <c r="ER22" s="379">
        <f t="shared" si="34"/>
        <v>515.48721086007993</v>
      </c>
      <c r="ES22" s="733">
        <f t="shared" si="35"/>
        <v>1.0242880187041663E-4</v>
      </c>
      <c r="ET22" s="379">
        <f t="shared" si="36"/>
        <v>98.592334720947846</v>
      </c>
      <c r="EU22" s="733">
        <f t="shared" si="37"/>
        <v>1.5691966081239571E-6</v>
      </c>
      <c r="EV22" s="379">
        <f t="shared" si="38"/>
        <v>4.04666744815143</v>
      </c>
      <c r="EW22" s="379">
        <f t="shared" si="39"/>
        <v>618.12621302917921</v>
      </c>
      <c r="EX22" s="733">
        <f t="shared" si="40"/>
        <v>5.7874603363670639E-5</v>
      </c>
      <c r="EY22" s="808">
        <f t="shared" si="41"/>
        <v>17.918648000000001</v>
      </c>
      <c r="FI22" s="730">
        <f t="shared" si="104"/>
        <v>19</v>
      </c>
      <c r="FJ22" s="731">
        <f t="shared" si="42"/>
        <v>19</v>
      </c>
      <c r="FK22" s="732" t="s">
        <v>426</v>
      </c>
      <c r="FL22" s="733">
        <f t="shared" si="43"/>
        <v>7.2206393413972995E-5</v>
      </c>
      <c r="FM22" s="379">
        <f t="shared" si="44"/>
        <v>1357.0201372072388</v>
      </c>
      <c r="FN22" s="808">
        <f t="shared" si="45"/>
        <v>39.338189</v>
      </c>
      <c r="FR22" s="730">
        <f t="shared" si="105"/>
        <v>19</v>
      </c>
      <c r="FS22" s="731">
        <v>19</v>
      </c>
      <c r="FT22" s="732" t="s">
        <v>426</v>
      </c>
      <c r="FU22" s="379">
        <f t="shared" si="46"/>
        <v>2393.1281843764696</v>
      </c>
      <c r="FV22" s="379">
        <f t="shared" si="47"/>
        <v>534.38671271345049</v>
      </c>
      <c r="FW22" s="379">
        <f t="shared" si="48"/>
        <v>2330.8050864733159</v>
      </c>
      <c r="FX22" s="379">
        <f t="shared" si="49"/>
        <v>297.64153804027347</v>
      </c>
      <c r="FY22" s="379">
        <f t="shared" si="50"/>
        <v>478.77048943153221</v>
      </c>
      <c r="FZ22" s="379">
        <f t="shared" si="51"/>
        <v>618.12621302917921</v>
      </c>
      <c r="GA22" s="379">
        <f t="shared" si="52"/>
        <v>1357.0201372072388</v>
      </c>
      <c r="GB22" s="379">
        <f t="shared" si="53"/>
        <v>8009.8783612714587</v>
      </c>
      <c r="GC22" s="852">
        <f t="shared" si="54"/>
        <v>232.19560100000001</v>
      </c>
      <c r="GG22" s="730">
        <f t="shared" si="79"/>
        <v>19</v>
      </c>
      <c r="GH22" s="731">
        <f t="shared" si="55"/>
        <v>19</v>
      </c>
      <c r="GI22" s="732" t="s">
        <v>426</v>
      </c>
      <c r="GJ22" s="808">
        <f t="shared" si="56"/>
        <v>69.373566999999994</v>
      </c>
      <c r="GK22" s="808">
        <f t="shared" si="57"/>
        <v>15.491152</v>
      </c>
      <c r="GL22" s="808">
        <f t="shared" si="58"/>
        <v>67.566905000000006</v>
      </c>
      <c r="GM22" s="808">
        <f t="shared" si="59"/>
        <v>8.628228</v>
      </c>
      <c r="GN22" s="808">
        <f t="shared" si="60"/>
        <v>13.878913000000001</v>
      </c>
      <c r="GO22" s="808">
        <f t="shared" si="61"/>
        <v>17.918648000000001</v>
      </c>
      <c r="GP22" s="808">
        <f t="shared" si="62"/>
        <v>39.338189</v>
      </c>
      <c r="GQ22" s="808">
        <f t="shared" si="63"/>
        <v>232.19560100000001</v>
      </c>
      <c r="GR22" s="784">
        <f t="shared" si="80"/>
        <v>3449.6253709013754</v>
      </c>
      <c r="GS22" s="716"/>
      <c r="GV22" s="717">
        <f t="shared" si="81"/>
        <v>19</v>
      </c>
      <c r="GW22" s="731">
        <v>19</v>
      </c>
      <c r="GX22" s="732" t="s">
        <v>426</v>
      </c>
      <c r="GY22" s="758" t="s">
        <v>397</v>
      </c>
      <c r="GZ22" s="906">
        <f t="shared" si="82"/>
        <v>8009.8783612714587</v>
      </c>
      <c r="HA22" s="784">
        <f t="shared" si="83"/>
        <v>3449.6253709013754</v>
      </c>
      <c r="HB22" s="922">
        <f t="shared" si="109"/>
        <v>232.19560100000001</v>
      </c>
      <c r="HC22" s="942">
        <f t="shared" si="85"/>
        <v>8009.8783622129286</v>
      </c>
      <c r="HD22" s="857">
        <v>-1.0707106412155554E-5</v>
      </c>
      <c r="HE22" s="54"/>
      <c r="HH22" s="54"/>
      <c r="HI22" s="54"/>
      <c r="HJ22" s="54"/>
      <c r="HK22" s="54"/>
      <c r="HL22" s="54"/>
      <c r="HM22" s="54"/>
      <c r="HN22" s="54"/>
      <c r="HQ22" s="730">
        <v>19</v>
      </c>
      <c r="HR22" s="867">
        <v>19</v>
      </c>
      <c r="HS22" s="732" t="s">
        <v>426</v>
      </c>
      <c r="HT22" s="784">
        <f t="shared" si="86"/>
        <v>3449.6253709013754</v>
      </c>
      <c r="HU22" s="917">
        <f t="shared" si="87"/>
        <v>232.19560100000001</v>
      </c>
      <c r="HV22" s="868"/>
      <c r="HW22" s="765"/>
      <c r="HX22" s="868">
        <v>-2.8946819999999889</v>
      </c>
      <c r="HY22" s="766">
        <v>10</v>
      </c>
      <c r="IP22" s="730">
        <v>19</v>
      </c>
      <c r="IQ22" s="867">
        <v>19</v>
      </c>
      <c r="IR22" s="732" t="s">
        <v>426</v>
      </c>
      <c r="IS22" s="913">
        <f t="shared" si="106"/>
        <v>8009.8783622129286</v>
      </c>
      <c r="IT22" s="915">
        <f t="shared" si="88"/>
        <v>3449.6253709013754</v>
      </c>
      <c r="IU22" s="918">
        <f t="shared" si="89"/>
        <v>232.19560100000001</v>
      </c>
      <c r="IV22" s="904">
        <f t="shared" si="114"/>
        <v>505.89083049909215</v>
      </c>
      <c r="IW22" s="904">
        <f t="shared" si="91"/>
        <v>2943.7345404022831</v>
      </c>
      <c r="IX22" s="913">
        <f t="shared" si="115"/>
        <v>7.5883624574863822</v>
      </c>
      <c r="IY22" s="881">
        <f t="shared" si="93"/>
        <v>8002.2899997554423</v>
      </c>
      <c r="IZ22" s="928">
        <f t="shared" si="116"/>
        <v>231.97562457816895</v>
      </c>
      <c r="JA22" s="928">
        <f t="shared" si="117"/>
        <v>233.47562457816895</v>
      </c>
      <c r="JB22" s="913">
        <f t="shared" si="107"/>
        <v>8009.8783622129286</v>
      </c>
      <c r="JC22" s="852">
        <v>0.22223272731204702</v>
      </c>
      <c r="JG22" s="730">
        <v>19</v>
      </c>
      <c r="JH22" s="867">
        <v>19</v>
      </c>
      <c r="JI22" s="732" t="s">
        <v>426</v>
      </c>
      <c r="JJ22" s="784">
        <f t="shared" si="96"/>
        <v>3449.6253709013754</v>
      </c>
      <c r="JK22" s="917">
        <f t="shared" si="97"/>
        <v>231.97562457816895</v>
      </c>
      <c r="JL22" s="868">
        <v>235.7</v>
      </c>
      <c r="JM22" s="765"/>
      <c r="JN22" s="868"/>
      <c r="JO22" s="766">
        <v>10</v>
      </c>
      <c r="JT22" s="936">
        <v>0</v>
      </c>
      <c r="JU22" s="936">
        <f t="shared" si="64"/>
        <v>0</v>
      </c>
      <c r="JV22" s="13">
        <v>0</v>
      </c>
      <c r="JW22" s="13">
        <f t="shared" si="65"/>
        <v>0</v>
      </c>
    </row>
    <row r="23" spans="3:294" x14ac:dyDescent="0.3">
      <c r="J23" s="338">
        <v>20</v>
      </c>
      <c r="K23" s="759">
        <v>20</v>
      </c>
      <c r="L23" s="518" t="s">
        <v>427</v>
      </c>
      <c r="M23" s="904"/>
      <c r="N23" s="943">
        <f t="shared" si="66"/>
        <v>0</v>
      </c>
      <c r="O23" s="455">
        <v>813.59999999999991</v>
      </c>
      <c r="P23" s="948">
        <f t="shared" si="67"/>
        <v>0</v>
      </c>
      <c r="Q23" s="659">
        <f t="shared" si="68"/>
        <v>0</v>
      </c>
      <c r="R23" s="322" t="s">
        <v>402</v>
      </c>
      <c r="V23" s="734">
        <f t="shared" si="98"/>
        <v>20</v>
      </c>
      <c r="W23" s="735">
        <f t="shared" si="0"/>
        <v>20</v>
      </c>
      <c r="X23" s="518" t="s">
        <v>427</v>
      </c>
      <c r="Y23" s="924">
        <f t="shared" si="69"/>
        <v>0</v>
      </c>
      <c r="Z23" s="943">
        <f t="shared" si="70"/>
        <v>0</v>
      </c>
      <c r="AD23" s="734">
        <v>20</v>
      </c>
      <c r="AE23" s="146">
        <v>20</v>
      </c>
      <c r="AF23" s="347" t="s">
        <v>427</v>
      </c>
      <c r="AG23" s="369">
        <v>4.6900000000000004</v>
      </c>
      <c r="AQ23" s="734">
        <f t="shared" si="71"/>
        <v>20</v>
      </c>
      <c r="AR23" s="787">
        <f t="shared" si="1"/>
        <v>20</v>
      </c>
      <c r="AS23" s="518" t="s">
        <v>427</v>
      </c>
      <c r="AT23" s="518">
        <f t="shared" si="2"/>
        <v>4.6900000000000004</v>
      </c>
      <c r="AU23" s="788">
        <f t="shared" si="72"/>
        <v>0</v>
      </c>
      <c r="AV23" s="788">
        <f t="shared" si="99"/>
        <v>0</v>
      </c>
      <c r="AW23" s="789">
        <f t="shared" si="3"/>
        <v>0</v>
      </c>
      <c r="AX23" s="790">
        <f t="shared" si="4"/>
        <v>18.28923031912322</v>
      </c>
      <c r="AY23" s="358">
        <f t="shared" si="108"/>
        <v>0</v>
      </c>
      <c r="AZ23" s="35">
        <f t="shared" si="73"/>
        <v>0</v>
      </c>
      <c r="BA23" s="55">
        <f t="shared" si="5"/>
        <v>0</v>
      </c>
      <c r="BL23" s="338">
        <f t="shared" si="100"/>
        <v>20</v>
      </c>
      <c r="BM23" s="322">
        <f t="shared" si="6"/>
        <v>20</v>
      </c>
      <c r="BN23" s="518" t="s">
        <v>427</v>
      </c>
      <c r="BO23" s="659">
        <f>VLOOKUP(BM23,$AR$4:$AZ$28,$BO$30,FALSE)</f>
        <v>0</v>
      </c>
      <c r="BP23" s="358">
        <f>BO23*$BP$28</f>
        <v>0</v>
      </c>
      <c r="BQ23" s="947">
        <f>VLOOKUP(BM23,$K$4:$N$27,$BQ$30,FALSE)</f>
        <v>0</v>
      </c>
      <c r="BR23" s="358">
        <f>BQ23*$BR$28</f>
        <v>0</v>
      </c>
      <c r="BS23" s="809">
        <f t="shared" si="9"/>
        <v>0</v>
      </c>
      <c r="BT23" s="810">
        <f t="shared" si="10"/>
        <v>0</v>
      </c>
      <c r="BW23" s="1"/>
      <c r="BX23" s="10"/>
      <c r="BY23" s="10"/>
      <c r="BZ23" s="10"/>
      <c r="CA23" s="10"/>
      <c r="CB23" s="10"/>
      <c r="CC23" s="10"/>
      <c r="CD23" s="10"/>
      <c r="CE23" s="10"/>
      <c r="CI23" s="734">
        <f t="shared" si="101"/>
        <v>20</v>
      </c>
      <c r="CJ23" s="146">
        <f t="shared" si="12"/>
        <v>20</v>
      </c>
      <c r="CK23" s="518" t="s">
        <v>427</v>
      </c>
      <c r="CL23" s="344">
        <f t="shared" si="13"/>
        <v>0</v>
      </c>
      <c r="CM23" s="20">
        <f t="shared" si="14"/>
        <v>0</v>
      </c>
      <c r="CN23" s="344">
        <f t="shared" si="15"/>
        <v>0</v>
      </c>
      <c r="CO23" s="20">
        <f t="shared" si="16"/>
        <v>0</v>
      </c>
      <c r="CP23" s="20">
        <f t="shared" si="17"/>
        <v>0</v>
      </c>
      <c r="CQ23" s="344">
        <f t="shared" si="18"/>
        <v>0</v>
      </c>
      <c r="CR23" s="342">
        <f t="shared" si="19"/>
        <v>0</v>
      </c>
      <c r="DE23" s="1"/>
      <c r="DH23" s="734">
        <v>20</v>
      </c>
      <c r="DI23" s="745">
        <f t="shared" si="20"/>
        <v>20</v>
      </c>
      <c r="DJ23" s="518" t="s">
        <v>427</v>
      </c>
      <c r="DK23" s="344">
        <f t="shared" si="21"/>
        <v>0</v>
      </c>
      <c r="DL23" s="20">
        <f t="shared" si="77"/>
        <v>0</v>
      </c>
      <c r="DM23" s="344">
        <f t="shared" si="22"/>
        <v>0</v>
      </c>
      <c r="DN23" s="20">
        <f t="shared" si="23"/>
        <v>0</v>
      </c>
      <c r="DO23" s="344">
        <f t="shared" si="24"/>
        <v>0</v>
      </c>
      <c r="DP23" s="20">
        <f t="shared" si="25"/>
        <v>0</v>
      </c>
      <c r="DQ23" s="20">
        <f t="shared" si="78"/>
        <v>0</v>
      </c>
      <c r="DR23" s="344">
        <f t="shared" si="26"/>
        <v>0</v>
      </c>
      <c r="DS23" s="342">
        <f t="shared" si="27"/>
        <v>0</v>
      </c>
      <c r="DW23" s="734">
        <f t="shared" si="102"/>
        <v>20</v>
      </c>
      <c r="DX23" s="745">
        <f t="shared" si="28"/>
        <v>20</v>
      </c>
      <c r="DY23" s="518" t="s">
        <v>427</v>
      </c>
      <c r="DZ23" s="344">
        <f t="shared" si="29"/>
        <v>0</v>
      </c>
      <c r="EA23" s="20">
        <f t="shared" si="30"/>
        <v>0</v>
      </c>
      <c r="EB23" s="342">
        <f t="shared" si="31"/>
        <v>0</v>
      </c>
      <c r="EN23" s="734">
        <f t="shared" si="103"/>
        <v>20</v>
      </c>
      <c r="EO23" s="745">
        <f t="shared" si="32"/>
        <v>20</v>
      </c>
      <c r="EP23" s="518" t="s">
        <v>427</v>
      </c>
      <c r="EQ23" s="344">
        <f t="shared" si="33"/>
        <v>0</v>
      </c>
      <c r="ER23" s="20">
        <f t="shared" si="34"/>
        <v>0</v>
      </c>
      <c r="ES23" s="344">
        <f t="shared" si="35"/>
        <v>0</v>
      </c>
      <c r="ET23" s="20">
        <f t="shared" si="36"/>
        <v>0</v>
      </c>
      <c r="EU23" s="344">
        <f t="shared" si="37"/>
        <v>0</v>
      </c>
      <c r="EV23" s="20">
        <f t="shared" si="38"/>
        <v>0</v>
      </c>
      <c r="EW23" s="20">
        <f t="shared" si="39"/>
        <v>0</v>
      </c>
      <c r="EX23" s="344">
        <f t="shared" si="40"/>
        <v>0</v>
      </c>
      <c r="EY23" s="342">
        <f t="shared" si="41"/>
        <v>0</v>
      </c>
      <c r="FI23" s="734">
        <f t="shared" si="104"/>
        <v>20</v>
      </c>
      <c r="FJ23" s="735">
        <f t="shared" si="42"/>
        <v>20</v>
      </c>
      <c r="FK23" s="518" t="s">
        <v>427</v>
      </c>
      <c r="FL23" s="344">
        <f>Z23</f>
        <v>0</v>
      </c>
      <c r="FM23" s="20">
        <f>Z23*$FM$28</f>
        <v>0</v>
      </c>
      <c r="FN23" s="342">
        <f t="shared" si="45"/>
        <v>0</v>
      </c>
      <c r="FR23" s="734">
        <f t="shared" si="105"/>
        <v>20</v>
      </c>
      <c r="FS23" s="735">
        <v>20</v>
      </c>
      <c r="FT23" s="518" t="s">
        <v>427</v>
      </c>
      <c r="FU23" s="20">
        <f t="shared" si="46"/>
        <v>0</v>
      </c>
      <c r="FV23" s="20">
        <f>VLOOKUP(FS23,$BM$4:$BT$86,$FV$30,FALSE)</f>
        <v>0</v>
      </c>
      <c r="FW23" s="20">
        <f t="shared" si="48"/>
        <v>0</v>
      </c>
      <c r="FX23" s="20">
        <f t="shared" si="49"/>
        <v>0</v>
      </c>
      <c r="FY23" s="20">
        <f t="shared" si="50"/>
        <v>0</v>
      </c>
      <c r="FZ23" s="20">
        <f t="shared" si="51"/>
        <v>0</v>
      </c>
      <c r="GA23" s="20">
        <f t="shared" si="52"/>
        <v>0</v>
      </c>
      <c r="GB23" s="20">
        <f t="shared" si="53"/>
        <v>0</v>
      </c>
      <c r="GC23" s="414">
        <f t="shared" si="54"/>
        <v>0</v>
      </c>
      <c r="GG23" s="734">
        <f t="shared" si="79"/>
        <v>20</v>
      </c>
      <c r="GH23" s="735">
        <f t="shared" si="55"/>
        <v>20</v>
      </c>
      <c r="GI23" s="518" t="s">
        <v>427</v>
      </c>
      <c r="GJ23" s="342">
        <f t="shared" si="56"/>
        <v>0</v>
      </c>
      <c r="GK23" s="342">
        <f t="shared" si="57"/>
        <v>0</v>
      </c>
      <c r="GL23" s="342">
        <f t="shared" si="58"/>
        <v>0</v>
      </c>
      <c r="GM23" s="342">
        <f t="shared" si="59"/>
        <v>0</v>
      </c>
      <c r="GN23" s="342">
        <f t="shared" si="60"/>
        <v>0</v>
      </c>
      <c r="GO23" s="342">
        <f t="shared" si="61"/>
        <v>0</v>
      </c>
      <c r="GP23" s="342">
        <f t="shared" si="62"/>
        <v>0</v>
      </c>
      <c r="GQ23" s="342">
        <f t="shared" si="63"/>
        <v>0</v>
      </c>
      <c r="GR23" s="788">
        <f t="shared" si="80"/>
        <v>0</v>
      </c>
      <c r="GS23" s="716"/>
      <c r="GV23" s="718">
        <f t="shared" si="81"/>
        <v>20</v>
      </c>
      <c r="GW23" s="735">
        <v>20</v>
      </c>
      <c r="GX23" s="518" t="s">
        <v>427</v>
      </c>
      <c r="GY23" s="322" t="s">
        <v>402</v>
      </c>
      <c r="GZ23" s="924">
        <f>GB23</f>
        <v>0</v>
      </c>
      <c r="HA23" s="788">
        <f t="shared" si="83"/>
        <v>0</v>
      </c>
      <c r="HB23" s="922">
        <f t="shared" si="109"/>
        <v>0</v>
      </c>
      <c r="HC23" s="942">
        <f t="shared" si="85"/>
        <v>0</v>
      </c>
      <c r="HD23" s="858">
        <v>-1.3227962699602358E-3</v>
      </c>
      <c r="HE23" s="54"/>
      <c r="HH23" s="54"/>
      <c r="HI23" s="54"/>
      <c r="HJ23" s="54"/>
      <c r="HK23" s="54"/>
      <c r="HL23" s="54"/>
      <c r="HM23" s="54"/>
      <c r="HN23" s="54"/>
      <c r="HQ23" s="734">
        <v>20</v>
      </c>
      <c r="HR23" s="869">
        <v>20</v>
      </c>
      <c r="HS23" s="518" t="s">
        <v>427</v>
      </c>
      <c r="HT23" s="788">
        <f t="shared" si="86"/>
        <v>0</v>
      </c>
      <c r="HU23" s="917">
        <f t="shared" si="87"/>
        <v>0</v>
      </c>
      <c r="HV23" s="870"/>
      <c r="HW23" s="768"/>
      <c r="HX23" s="870">
        <v>-1.448607</v>
      </c>
      <c r="HY23" s="769">
        <v>10</v>
      </c>
      <c r="IP23" s="734">
        <v>20</v>
      </c>
      <c r="IQ23" s="869">
        <v>20</v>
      </c>
      <c r="IR23" s="518" t="s">
        <v>427</v>
      </c>
      <c r="IS23" s="913">
        <f t="shared" si="106"/>
        <v>0</v>
      </c>
      <c r="IT23" s="915">
        <f t="shared" si="88"/>
        <v>0</v>
      </c>
      <c r="IU23" s="919">
        <f t="shared" si="89"/>
        <v>0</v>
      </c>
      <c r="IV23" s="904">
        <v>0</v>
      </c>
      <c r="IW23" s="904">
        <f t="shared" si="91"/>
        <v>0</v>
      </c>
      <c r="IX23" s="913">
        <v>0</v>
      </c>
      <c r="IY23" s="882">
        <f t="shared" si="93"/>
        <v>0</v>
      </c>
      <c r="IZ23" s="928">
        <f t="shared" ref="IZ23:IZ24" si="118">IU23</f>
        <v>0</v>
      </c>
      <c r="JA23" s="929">
        <f>IZ23</f>
        <v>0</v>
      </c>
      <c r="JB23" s="913">
        <f t="shared" si="107"/>
        <v>0</v>
      </c>
      <c r="JC23" s="883">
        <v>0</v>
      </c>
      <c r="JG23" s="734">
        <v>20</v>
      </c>
      <c r="JH23" s="869">
        <v>20</v>
      </c>
      <c r="JI23" s="518" t="s">
        <v>427</v>
      </c>
      <c r="JJ23" s="788">
        <f t="shared" si="96"/>
        <v>0</v>
      </c>
      <c r="JK23" s="917">
        <f t="shared" si="97"/>
        <v>0</v>
      </c>
      <c r="JL23" s="870">
        <v>8.734</v>
      </c>
      <c r="JM23" s="768"/>
      <c r="JN23" s="870"/>
      <c r="JO23" s="769">
        <v>10</v>
      </c>
      <c r="JT23" s="936">
        <v>0</v>
      </c>
      <c r="JU23" s="936">
        <f t="shared" si="64"/>
        <v>0</v>
      </c>
      <c r="JV23" s="13">
        <v>0</v>
      </c>
      <c r="JW23" s="13">
        <f t="shared" si="65"/>
        <v>0</v>
      </c>
    </row>
    <row r="24" spans="3:294" x14ac:dyDescent="0.3">
      <c r="J24" s="756">
        <v>21</v>
      </c>
      <c r="K24" s="757">
        <v>21</v>
      </c>
      <c r="L24" s="732" t="s">
        <v>428</v>
      </c>
      <c r="M24" s="904"/>
      <c r="N24" s="944">
        <f t="shared" si="66"/>
        <v>0</v>
      </c>
      <c r="O24" s="753">
        <v>616.79999999999995</v>
      </c>
      <c r="P24" s="948">
        <f t="shared" si="67"/>
        <v>0</v>
      </c>
      <c r="Q24" s="733">
        <f t="shared" si="68"/>
        <v>0</v>
      </c>
      <c r="R24" s="758" t="s">
        <v>402</v>
      </c>
      <c r="V24" s="730">
        <f t="shared" si="98"/>
        <v>21</v>
      </c>
      <c r="W24" s="731">
        <f t="shared" si="0"/>
        <v>21</v>
      </c>
      <c r="X24" s="732" t="s">
        <v>428</v>
      </c>
      <c r="Y24" s="924">
        <f t="shared" si="69"/>
        <v>0</v>
      </c>
      <c r="Z24" s="944">
        <f t="shared" si="70"/>
        <v>0</v>
      </c>
      <c r="AD24" s="730">
        <v>21</v>
      </c>
      <c r="AE24" s="746">
        <v>21</v>
      </c>
      <c r="AF24" s="747" t="s">
        <v>428</v>
      </c>
      <c r="AG24" s="748">
        <v>5.0999999999999996</v>
      </c>
      <c r="AQ24" s="730">
        <f t="shared" si="71"/>
        <v>21</v>
      </c>
      <c r="AR24" s="783">
        <f t="shared" si="1"/>
        <v>21</v>
      </c>
      <c r="AS24" s="732" t="s">
        <v>428</v>
      </c>
      <c r="AT24" s="732">
        <f t="shared" si="2"/>
        <v>5.0999999999999996</v>
      </c>
      <c r="AU24" s="784">
        <f t="shared" si="72"/>
        <v>0</v>
      </c>
      <c r="AV24" s="784">
        <f t="shared" si="99"/>
        <v>0</v>
      </c>
      <c r="AW24" s="785">
        <f t="shared" si="3"/>
        <v>0</v>
      </c>
      <c r="AX24" s="786">
        <f t="shared" si="4"/>
        <v>18.28923031912322</v>
      </c>
      <c r="AY24" s="379">
        <f t="shared" si="108"/>
        <v>0</v>
      </c>
      <c r="AZ24" s="51">
        <f t="shared" si="73"/>
        <v>0</v>
      </c>
      <c r="BA24" s="53">
        <f t="shared" si="5"/>
        <v>0</v>
      </c>
      <c r="BL24" s="756">
        <f t="shared" si="100"/>
        <v>21</v>
      </c>
      <c r="BM24" s="758">
        <f t="shared" si="6"/>
        <v>21</v>
      </c>
      <c r="BN24" s="732" t="s">
        <v>428</v>
      </c>
      <c r="BO24" s="733">
        <f t="shared" si="7"/>
        <v>0</v>
      </c>
      <c r="BP24" s="379">
        <f t="shared" si="74"/>
        <v>0</v>
      </c>
      <c r="BQ24" s="733">
        <f t="shared" si="8"/>
        <v>0</v>
      </c>
      <c r="BR24" s="379">
        <f t="shared" si="75"/>
        <v>0</v>
      </c>
      <c r="BS24" s="807">
        <f t="shared" si="9"/>
        <v>0</v>
      </c>
      <c r="BT24" s="808">
        <f t="shared" si="10"/>
        <v>0</v>
      </c>
      <c r="BW24" s="1"/>
      <c r="BX24" s="10"/>
      <c r="BY24" s="10"/>
      <c r="BZ24" s="10"/>
      <c r="CA24" s="10"/>
      <c r="CB24" s="10"/>
      <c r="CC24" s="10"/>
      <c r="CD24" s="10"/>
      <c r="CE24" s="10"/>
      <c r="CI24" s="730">
        <f t="shared" si="101"/>
        <v>21</v>
      </c>
      <c r="CJ24" s="746">
        <f t="shared" si="12"/>
        <v>21</v>
      </c>
      <c r="CK24" s="732" t="s">
        <v>428</v>
      </c>
      <c r="CL24" s="733">
        <f t="shared" si="13"/>
        <v>0</v>
      </c>
      <c r="CM24" s="379">
        <f t="shared" si="14"/>
        <v>0</v>
      </c>
      <c r="CN24" s="733">
        <f t="shared" si="15"/>
        <v>0</v>
      </c>
      <c r="CO24" s="379">
        <f t="shared" si="16"/>
        <v>0</v>
      </c>
      <c r="CP24" s="379">
        <f t="shared" si="17"/>
        <v>0</v>
      </c>
      <c r="CQ24" s="733">
        <f t="shared" si="18"/>
        <v>0</v>
      </c>
      <c r="CR24" s="808">
        <f t="shared" si="19"/>
        <v>0</v>
      </c>
      <c r="DE24" s="1"/>
      <c r="DH24" s="730">
        <v>21</v>
      </c>
      <c r="DI24" s="840">
        <f t="shared" si="20"/>
        <v>21</v>
      </c>
      <c r="DJ24" s="732" t="s">
        <v>428</v>
      </c>
      <c r="DK24" s="733">
        <f t="shared" si="21"/>
        <v>0</v>
      </c>
      <c r="DL24" s="379">
        <f t="shared" si="77"/>
        <v>0</v>
      </c>
      <c r="DM24" s="733">
        <f t="shared" si="22"/>
        <v>0</v>
      </c>
      <c r="DN24" s="379">
        <f t="shared" si="23"/>
        <v>0</v>
      </c>
      <c r="DO24" s="733">
        <f t="shared" si="24"/>
        <v>0</v>
      </c>
      <c r="DP24" s="379">
        <f t="shared" si="25"/>
        <v>0</v>
      </c>
      <c r="DQ24" s="379">
        <f t="shared" si="78"/>
        <v>0</v>
      </c>
      <c r="DR24" s="733">
        <f t="shared" si="26"/>
        <v>0</v>
      </c>
      <c r="DS24" s="808">
        <f t="shared" si="27"/>
        <v>0</v>
      </c>
      <c r="DW24" s="730">
        <f t="shared" si="102"/>
        <v>21</v>
      </c>
      <c r="DX24" s="840">
        <f t="shared" si="28"/>
        <v>21</v>
      </c>
      <c r="DY24" s="732" t="s">
        <v>428</v>
      </c>
      <c r="DZ24" s="733">
        <f t="shared" si="29"/>
        <v>0</v>
      </c>
      <c r="EA24" s="379">
        <f t="shared" si="30"/>
        <v>0</v>
      </c>
      <c r="EB24" s="808">
        <f t="shared" si="31"/>
        <v>0</v>
      </c>
      <c r="EN24" s="730">
        <f t="shared" si="103"/>
        <v>21</v>
      </c>
      <c r="EO24" s="840">
        <f t="shared" si="32"/>
        <v>21</v>
      </c>
      <c r="EP24" s="732" t="s">
        <v>428</v>
      </c>
      <c r="EQ24" s="733">
        <f t="shared" si="33"/>
        <v>0</v>
      </c>
      <c r="ER24" s="379">
        <f t="shared" si="34"/>
        <v>0</v>
      </c>
      <c r="ES24" s="733">
        <f t="shared" si="35"/>
        <v>0</v>
      </c>
      <c r="ET24" s="379">
        <f t="shared" si="36"/>
        <v>0</v>
      </c>
      <c r="EU24" s="733">
        <f t="shared" si="37"/>
        <v>0</v>
      </c>
      <c r="EV24" s="379">
        <f t="shared" si="38"/>
        <v>0</v>
      </c>
      <c r="EW24" s="379">
        <f t="shared" si="39"/>
        <v>0</v>
      </c>
      <c r="EX24" s="733">
        <f t="shared" si="40"/>
        <v>0</v>
      </c>
      <c r="EY24" s="808">
        <f t="shared" si="41"/>
        <v>0</v>
      </c>
      <c r="FI24" s="730">
        <f t="shared" si="104"/>
        <v>21</v>
      </c>
      <c r="FJ24" s="731">
        <f t="shared" si="42"/>
        <v>21</v>
      </c>
      <c r="FK24" s="732" t="s">
        <v>428</v>
      </c>
      <c r="FL24" s="733">
        <f t="shared" si="43"/>
        <v>0</v>
      </c>
      <c r="FM24" s="379">
        <f t="shared" si="44"/>
        <v>0</v>
      </c>
      <c r="FN24" s="808">
        <f t="shared" si="45"/>
        <v>0</v>
      </c>
      <c r="FR24" s="730">
        <f t="shared" si="105"/>
        <v>21</v>
      </c>
      <c r="FS24" s="731">
        <v>21</v>
      </c>
      <c r="FT24" s="732" t="s">
        <v>428</v>
      </c>
      <c r="FU24" s="379">
        <f t="shared" si="46"/>
        <v>0</v>
      </c>
      <c r="FV24" s="379">
        <f>VLOOKUP(FS24,$BM$4:$BT$86,$FV$30,FALSE)</f>
        <v>0</v>
      </c>
      <c r="FW24" s="379">
        <f t="shared" si="48"/>
        <v>0</v>
      </c>
      <c r="FX24" s="379">
        <f t="shared" si="49"/>
        <v>0</v>
      </c>
      <c r="FY24" s="379">
        <f t="shared" si="50"/>
        <v>0</v>
      </c>
      <c r="FZ24" s="379">
        <f t="shared" si="51"/>
        <v>0</v>
      </c>
      <c r="GA24" s="379">
        <f t="shared" si="52"/>
        <v>0</v>
      </c>
      <c r="GB24" s="379">
        <f>SUM(FU24:GA24)</f>
        <v>0</v>
      </c>
      <c r="GC24" s="852">
        <f t="shared" si="54"/>
        <v>0</v>
      </c>
      <c r="GG24" s="730">
        <f t="shared" si="79"/>
        <v>21</v>
      </c>
      <c r="GH24" s="731">
        <f t="shared" si="55"/>
        <v>21</v>
      </c>
      <c r="GI24" s="732" t="s">
        <v>428</v>
      </c>
      <c r="GJ24" s="808">
        <f t="shared" si="56"/>
        <v>0</v>
      </c>
      <c r="GK24" s="808">
        <f t="shared" si="57"/>
        <v>0</v>
      </c>
      <c r="GL24" s="808">
        <f t="shared" si="58"/>
        <v>0</v>
      </c>
      <c r="GM24" s="808">
        <f t="shared" si="59"/>
        <v>0</v>
      </c>
      <c r="GN24" s="808">
        <f t="shared" si="60"/>
        <v>0</v>
      </c>
      <c r="GO24" s="808">
        <f t="shared" si="61"/>
        <v>0</v>
      </c>
      <c r="GP24" s="808">
        <f t="shared" si="62"/>
        <v>0</v>
      </c>
      <c r="GQ24" s="808">
        <f t="shared" si="63"/>
        <v>0</v>
      </c>
      <c r="GR24" s="784">
        <f t="shared" si="80"/>
        <v>0</v>
      </c>
      <c r="GS24" s="716"/>
      <c r="GV24" s="717">
        <f t="shared" si="81"/>
        <v>21</v>
      </c>
      <c r="GW24" s="731">
        <v>21</v>
      </c>
      <c r="GX24" s="732" t="s">
        <v>428</v>
      </c>
      <c r="GY24" s="758" t="s">
        <v>402</v>
      </c>
      <c r="GZ24" s="906">
        <f t="shared" si="82"/>
        <v>0</v>
      </c>
      <c r="HA24" s="784">
        <f t="shared" si="83"/>
        <v>0</v>
      </c>
      <c r="HB24" s="922">
        <f t="shared" si="109"/>
        <v>0</v>
      </c>
      <c r="HC24" s="942">
        <f t="shared" si="85"/>
        <v>0</v>
      </c>
      <c r="HD24" s="857">
        <v>-5.9903747751377523E-4</v>
      </c>
      <c r="HE24" s="54"/>
      <c r="HH24" s="54"/>
      <c r="HI24" s="54"/>
      <c r="HJ24" s="54"/>
      <c r="HK24" s="54"/>
      <c r="HL24" s="54"/>
      <c r="HM24" s="54"/>
      <c r="HN24" s="54"/>
      <c r="HQ24" s="730">
        <v>21</v>
      </c>
      <c r="HR24" s="867">
        <v>21</v>
      </c>
      <c r="HS24" s="732" t="s">
        <v>428</v>
      </c>
      <c r="HT24" s="784">
        <f t="shared" si="86"/>
        <v>0</v>
      </c>
      <c r="HU24" s="917">
        <f t="shared" si="87"/>
        <v>0</v>
      </c>
      <c r="HV24" s="868"/>
      <c r="HW24" s="765"/>
      <c r="HX24" s="868">
        <v>-1.6913859999999996</v>
      </c>
      <c r="HY24" s="766">
        <v>10</v>
      </c>
      <c r="IP24" s="730">
        <v>21</v>
      </c>
      <c r="IQ24" s="867">
        <v>21</v>
      </c>
      <c r="IR24" s="732" t="s">
        <v>428</v>
      </c>
      <c r="IS24" s="913">
        <f t="shared" si="106"/>
        <v>0</v>
      </c>
      <c r="IT24" s="915">
        <f t="shared" si="88"/>
        <v>0</v>
      </c>
      <c r="IU24" s="918">
        <f t="shared" si="89"/>
        <v>0</v>
      </c>
      <c r="IV24" s="904">
        <v>0</v>
      </c>
      <c r="IW24" s="904">
        <f t="shared" si="91"/>
        <v>0</v>
      </c>
      <c r="IX24" s="913">
        <v>0</v>
      </c>
      <c r="IY24" s="881">
        <f t="shared" si="93"/>
        <v>0</v>
      </c>
      <c r="IZ24" s="928">
        <f t="shared" si="118"/>
        <v>0</v>
      </c>
      <c r="JA24" s="928">
        <v>8.3326989999999999</v>
      </c>
      <c r="JB24" s="913">
        <f t="shared" si="107"/>
        <v>0</v>
      </c>
      <c r="JC24" s="852">
        <v>0</v>
      </c>
      <c r="JG24" s="730">
        <v>21</v>
      </c>
      <c r="JH24" s="867">
        <v>21</v>
      </c>
      <c r="JI24" s="732" t="s">
        <v>428</v>
      </c>
      <c r="JJ24" s="784">
        <f t="shared" si="96"/>
        <v>0</v>
      </c>
      <c r="JK24" s="917">
        <f t="shared" si="97"/>
        <v>0</v>
      </c>
      <c r="JL24" s="868">
        <v>10.023999999999999</v>
      </c>
      <c r="JM24" s="765"/>
      <c r="JN24" s="868"/>
      <c r="JO24" s="766">
        <v>10</v>
      </c>
      <c r="JT24" s="936">
        <v>5.1923509265402581</v>
      </c>
      <c r="JU24" s="936">
        <f t="shared" si="64"/>
        <v>-2.4862651628649424E-2</v>
      </c>
      <c r="JV24" s="13">
        <v>97572642</v>
      </c>
      <c r="JW24" s="13">
        <f t="shared" si="65"/>
        <v>-273287.9088049829</v>
      </c>
    </row>
    <row r="25" spans="3:294" x14ac:dyDescent="0.3">
      <c r="J25" s="338">
        <v>22</v>
      </c>
      <c r="K25" s="759">
        <v>22</v>
      </c>
      <c r="L25" s="518" t="s">
        <v>429</v>
      </c>
      <c r="M25" s="904">
        <v>97299354.091195017</v>
      </c>
      <c r="N25" s="943">
        <f t="shared" si="66"/>
        <v>4.4260405115428475E-2</v>
      </c>
      <c r="O25" s="455">
        <v>1460.4614875157295</v>
      </c>
      <c r="P25" s="948">
        <f t="shared" si="67"/>
        <v>66622.334736606383</v>
      </c>
      <c r="Q25" s="659">
        <f t="shared" si="68"/>
        <v>3.8074187182404788E-2</v>
      </c>
      <c r="R25" s="322" t="s">
        <v>397</v>
      </c>
      <c r="V25" s="734">
        <f t="shared" si="98"/>
        <v>22</v>
      </c>
      <c r="W25" s="735">
        <f t="shared" si="0"/>
        <v>22</v>
      </c>
      <c r="X25" s="518" t="s">
        <v>429</v>
      </c>
      <c r="Y25" s="924">
        <f t="shared" si="69"/>
        <v>3921398.0879302877</v>
      </c>
      <c r="Z25" s="943">
        <f t="shared" si="70"/>
        <v>4.6920064147360808E-2</v>
      </c>
      <c r="AD25" s="734">
        <v>22</v>
      </c>
      <c r="AE25" s="146">
        <v>22</v>
      </c>
      <c r="AF25" s="347" t="s">
        <v>429</v>
      </c>
      <c r="AG25" s="369">
        <v>3.68</v>
      </c>
      <c r="AQ25" s="734">
        <f t="shared" si="71"/>
        <v>22</v>
      </c>
      <c r="AR25" s="787">
        <f t="shared" si="1"/>
        <v>22</v>
      </c>
      <c r="AS25" s="518" t="s">
        <v>429</v>
      </c>
      <c r="AT25" s="518">
        <f t="shared" si="2"/>
        <v>3.68</v>
      </c>
      <c r="AU25" s="788">
        <f t="shared" si="72"/>
        <v>97299354.091195017</v>
      </c>
      <c r="AV25" s="788">
        <f t="shared" si="99"/>
        <v>99461.561959888233</v>
      </c>
      <c r="AW25" s="789">
        <f t="shared" si="3"/>
        <v>103559.05535460936</v>
      </c>
      <c r="AX25" s="790">
        <f t="shared" si="4"/>
        <v>18.28923031912322</v>
      </c>
      <c r="AY25" s="358">
        <f t="shared" si="108"/>
        <v>1894015.4150112814</v>
      </c>
      <c r="AZ25" s="35">
        <f t="shared" si="73"/>
        <v>5.2596693465678315E-2</v>
      </c>
      <c r="BA25" s="55">
        <f t="shared" si="5"/>
        <v>1.9465859999999999</v>
      </c>
      <c r="BL25" s="338">
        <f t="shared" si="100"/>
        <v>22</v>
      </c>
      <c r="BM25" s="322">
        <f t="shared" si="6"/>
        <v>22</v>
      </c>
      <c r="BN25" s="518" t="s">
        <v>429</v>
      </c>
      <c r="BO25" s="659">
        <f t="shared" si="7"/>
        <v>5.2596693465678315E-2</v>
      </c>
      <c r="BP25" s="358">
        <f t="shared" si="74"/>
        <v>413178.52896124416</v>
      </c>
      <c r="BQ25" s="659">
        <f t="shared" si="8"/>
        <v>4.4260405115428475E-2</v>
      </c>
      <c r="BR25" s="358">
        <f t="shared" si="75"/>
        <v>347691.99110881059</v>
      </c>
      <c r="BS25" s="809">
        <f t="shared" si="9"/>
        <v>760870.5200700548</v>
      </c>
      <c r="BT25" s="810">
        <f t="shared" si="10"/>
        <v>0.78198900000000005</v>
      </c>
      <c r="BW25" s="1"/>
      <c r="BX25" s="10"/>
      <c r="BY25" s="10"/>
      <c r="BZ25" s="10"/>
      <c r="CA25" s="10"/>
      <c r="CB25" s="10"/>
      <c r="CC25" s="10"/>
      <c r="CD25" s="10"/>
      <c r="CE25" s="10"/>
      <c r="CI25" s="734">
        <f t="shared" si="101"/>
        <v>22</v>
      </c>
      <c r="CJ25" s="146">
        <f t="shared" si="12"/>
        <v>22</v>
      </c>
      <c r="CK25" s="518" t="s">
        <v>429</v>
      </c>
      <c r="CL25" s="344">
        <f t="shared" si="13"/>
        <v>4.4260405115428475E-2</v>
      </c>
      <c r="CM25" s="20">
        <f t="shared" si="14"/>
        <v>236980.83700204059</v>
      </c>
      <c r="CN25" s="344">
        <f t="shared" si="15"/>
        <v>3.8074187182404788E-2</v>
      </c>
      <c r="CO25" s="20">
        <f t="shared" si="16"/>
        <v>662533.80218350107</v>
      </c>
      <c r="CP25" s="20">
        <f t="shared" si="17"/>
        <v>899514.63918554166</v>
      </c>
      <c r="CQ25" s="344">
        <f t="shared" si="18"/>
        <v>3.9529777625500293E-2</v>
      </c>
      <c r="CR25" s="342">
        <f t="shared" si="19"/>
        <v>0.92448200000000003</v>
      </c>
      <c r="DE25" s="1"/>
      <c r="DH25" s="734">
        <v>22</v>
      </c>
      <c r="DI25" s="745">
        <f t="shared" si="20"/>
        <v>22</v>
      </c>
      <c r="DJ25" s="518" t="s">
        <v>429</v>
      </c>
      <c r="DK25" s="344">
        <f t="shared" si="21"/>
        <v>3.9529777625500293E-2</v>
      </c>
      <c r="DL25" s="20">
        <f t="shared" si="77"/>
        <v>12456.183902805435</v>
      </c>
      <c r="DM25" s="344">
        <f t="shared" si="22"/>
        <v>3.8074187182404788E-2</v>
      </c>
      <c r="DN25" s="20">
        <f t="shared" si="23"/>
        <v>74249.761093007721</v>
      </c>
      <c r="DO25" s="344">
        <f t="shared" si="24"/>
        <v>4.4260405115428475E-2</v>
      </c>
      <c r="DP25" s="20">
        <f t="shared" si="25"/>
        <v>143708.21031790954</v>
      </c>
      <c r="DQ25" s="20">
        <f t="shared" si="78"/>
        <v>230414.1553137227</v>
      </c>
      <c r="DR25" s="344">
        <f t="shared" si="26"/>
        <v>4.1801349477363359E-2</v>
      </c>
      <c r="DS25" s="342">
        <f t="shared" si="27"/>
        <v>0.23680999999999999</v>
      </c>
      <c r="DW25" s="734">
        <f t="shared" si="102"/>
        <v>22</v>
      </c>
      <c r="DX25" s="745">
        <f t="shared" si="28"/>
        <v>22</v>
      </c>
      <c r="DY25" s="518" t="s">
        <v>429</v>
      </c>
      <c r="DZ25" s="344">
        <f t="shared" si="29"/>
        <v>3.8074187182404788E-2</v>
      </c>
      <c r="EA25" s="20">
        <f t="shared" si="30"/>
        <v>136583.35834968681</v>
      </c>
      <c r="EB25" s="342">
        <f t="shared" si="31"/>
        <v>0.140374</v>
      </c>
      <c r="EN25" s="734">
        <f t="shared" si="103"/>
        <v>22</v>
      </c>
      <c r="EO25" s="745">
        <f t="shared" si="32"/>
        <v>22</v>
      </c>
      <c r="EP25" s="518" t="s">
        <v>429</v>
      </c>
      <c r="EQ25" s="344">
        <f t="shared" si="33"/>
        <v>4.6920064147360808E-2</v>
      </c>
      <c r="ER25" s="20">
        <f t="shared" si="34"/>
        <v>334966.08620281232</v>
      </c>
      <c r="ES25" s="344">
        <f t="shared" si="35"/>
        <v>3.9529777625500293E-2</v>
      </c>
      <c r="ET25" s="20">
        <f t="shared" si="36"/>
        <v>38049.19120335413</v>
      </c>
      <c r="EU25" s="344">
        <f t="shared" si="37"/>
        <v>4.4260405115428475E-2</v>
      </c>
      <c r="EV25" s="20">
        <f t="shared" si="38"/>
        <v>114139.38807625249</v>
      </c>
      <c r="EW25" s="20">
        <f t="shared" si="39"/>
        <v>487154.6654824189</v>
      </c>
      <c r="EX25" s="344">
        <f t="shared" si="40"/>
        <v>4.5611854743046999E-2</v>
      </c>
      <c r="EY25" s="342">
        <f t="shared" si="41"/>
        <v>0.50067600000000001</v>
      </c>
      <c r="FI25" s="734">
        <f t="shared" si="104"/>
        <v>22</v>
      </c>
      <c r="FJ25" s="735">
        <f t="shared" si="42"/>
        <v>22</v>
      </c>
      <c r="FK25" s="518" t="s">
        <v>429</v>
      </c>
      <c r="FL25" s="344">
        <f t="shared" si="43"/>
        <v>4.6920064147360808E-2</v>
      </c>
      <c r="FM25" s="20">
        <f t="shared" si="44"/>
        <v>881798.25741999527</v>
      </c>
      <c r="FN25" s="342">
        <f t="shared" si="45"/>
        <v>0.906273</v>
      </c>
      <c r="FR25" s="734">
        <f t="shared" si="105"/>
        <v>22</v>
      </c>
      <c r="FS25" s="735">
        <v>22</v>
      </c>
      <c r="FT25" s="518" t="s">
        <v>429</v>
      </c>
      <c r="FU25" s="20">
        <f t="shared" si="46"/>
        <v>1894015.4150112814</v>
      </c>
      <c r="FV25" s="20">
        <f t="shared" si="47"/>
        <v>760870.5200700548</v>
      </c>
      <c r="FW25" s="20">
        <f t="shared" si="48"/>
        <v>899514.63918554166</v>
      </c>
      <c r="FX25" s="20">
        <f t="shared" si="49"/>
        <v>230414.1553137227</v>
      </c>
      <c r="FY25" s="20">
        <f t="shared" si="50"/>
        <v>136583.35834968681</v>
      </c>
      <c r="FZ25" s="20">
        <f t="shared" si="51"/>
        <v>487154.6654824189</v>
      </c>
      <c r="GA25" s="20">
        <f t="shared" si="52"/>
        <v>881798.25741999527</v>
      </c>
      <c r="GB25" s="20">
        <f t="shared" ref="GB25:GB27" si="119">SUM(FU25:GA25)</f>
        <v>5290351.0108327018</v>
      </c>
      <c r="GC25" s="414">
        <f t="shared" si="54"/>
        <v>5.4371900000000002</v>
      </c>
      <c r="GG25" s="734">
        <f t="shared" si="79"/>
        <v>22</v>
      </c>
      <c r="GH25" s="735">
        <f t="shared" si="55"/>
        <v>22</v>
      </c>
      <c r="GI25" s="518" t="s">
        <v>429</v>
      </c>
      <c r="GJ25" s="342">
        <f t="shared" si="56"/>
        <v>1.9465859999999999</v>
      </c>
      <c r="GK25" s="342">
        <f t="shared" si="57"/>
        <v>0.78198900000000005</v>
      </c>
      <c r="GL25" s="342">
        <f t="shared" si="58"/>
        <v>0.92448200000000003</v>
      </c>
      <c r="GM25" s="342">
        <f t="shared" si="59"/>
        <v>0.23680999999999999</v>
      </c>
      <c r="GN25" s="342">
        <f t="shared" si="60"/>
        <v>0.140374</v>
      </c>
      <c r="GO25" s="342">
        <f t="shared" si="61"/>
        <v>0.50067600000000001</v>
      </c>
      <c r="GP25" s="342">
        <f t="shared" si="62"/>
        <v>0.906273</v>
      </c>
      <c r="GQ25" s="342">
        <f t="shared" si="63"/>
        <v>5.4371900000000002</v>
      </c>
      <c r="GR25" s="788">
        <f t="shared" si="80"/>
        <v>97299354.091195017</v>
      </c>
      <c r="GS25" s="716"/>
      <c r="GV25" s="718">
        <f t="shared" si="81"/>
        <v>22</v>
      </c>
      <c r="GW25" s="735">
        <v>22</v>
      </c>
      <c r="GX25" s="518" t="s">
        <v>429</v>
      </c>
      <c r="GY25" s="322" t="s">
        <v>397</v>
      </c>
      <c r="GZ25" s="924">
        <f t="shared" si="82"/>
        <v>5290351.0108327018</v>
      </c>
      <c r="HA25" s="788">
        <f t="shared" si="83"/>
        <v>97299354.091195017</v>
      </c>
      <c r="HB25" s="922">
        <f t="shared" si="109"/>
        <v>5.4371900000000002</v>
      </c>
      <c r="HC25" s="942">
        <f t="shared" si="85"/>
        <v>5290350.7507110462</v>
      </c>
      <c r="HD25" s="858">
        <v>0.21602247189730406</v>
      </c>
      <c r="HE25" s="54"/>
      <c r="HH25" s="54"/>
      <c r="HI25" s="54"/>
      <c r="HJ25" s="54"/>
      <c r="HK25" s="54"/>
      <c r="HL25" s="54"/>
      <c r="HM25" s="54"/>
      <c r="HN25" s="54"/>
      <c r="HQ25" s="734">
        <v>22</v>
      </c>
      <c r="HR25" s="869">
        <v>22</v>
      </c>
      <c r="HS25" s="518" t="s">
        <v>429</v>
      </c>
      <c r="HT25" s="788">
        <f t="shared" si="86"/>
        <v>97299354.091195017</v>
      </c>
      <c r="HU25" s="917">
        <f t="shared" si="87"/>
        <v>5.4371900000000002</v>
      </c>
      <c r="HV25" s="870"/>
      <c r="HW25" s="768"/>
      <c r="HX25" s="870">
        <v>-1.3005939999999994</v>
      </c>
      <c r="HY25" s="769">
        <v>10</v>
      </c>
      <c r="IP25" s="734">
        <v>22</v>
      </c>
      <c r="IQ25" s="869">
        <v>22</v>
      </c>
      <c r="IR25" s="518" t="s">
        <v>429</v>
      </c>
      <c r="IS25" s="913">
        <f t="shared" si="106"/>
        <v>5290350.7507110462</v>
      </c>
      <c r="IT25" s="915">
        <f t="shared" si="88"/>
        <v>97299354.091195017</v>
      </c>
      <c r="IU25" s="919">
        <f t="shared" si="89"/>
        <v>5.4371900000000002</v>
      </c>
      <c r="IV25" s="904">
        <f t="shared" ref="IV25:IV26" si="120">IT25*$IK$4/(1-$IL$4)</f>
        <v>14269042.506305002</v>
      </c>
      <c r="IW25" s="904">
        <f t="shared" si="91"/>
        <v>83030311.584890008</v>
      </c>
      <c r="IX25" s="913">
        <f t="shared" ref="IX25:IX26" si="121">IV25*$II$4</f>
        <v>214035.637594575</v>
      </c>
      <c r="IY25" s="882">
        <f t="shared" si="93"/>
        <v>5076315.1131164711</v>
      </c>
      <c r="IZ25" s="928">
        <f t="shared" ref="IZ25:IZ26" si="122">100*IY25/IT25</f>
        <v>5.2172135781689075</v>
      </c>
      <c r="JA25" s="928">
        <f t="shared" ref="JA25:JA26" si="123">IZ25+1.5</f>
        <v>6.7172135781689075</v>
      </c>
      <c r="JB25" s="913">
        <f t="shared" si="107"/>
        <v>5290350.7507110452</v>
      </c>
      <c r="JC25" s="414">
        <v>0.22223330814769415</v>
      </c>
      <c r="JG25" s="734">
        <v>22</v>
      </c>
      <c r="JH25" s="869">
        <v>22</v>
      </c>
      <c r="JI25" s="518" t="s">
        <v>429</v>
      </c>
      <c r="JJ25" s="788">
        <f t="shared" si="96"/>
        <v>97299354.091195017</v>
      </c>
      <c r="JK25" s="917">
        <f t="shared" si="97"/>
        <v>5.2172135781689075</v>
      </c>
      <c r="JL25" s="870">
        <v>6.5339999999999998</v>
      </c>
      <c r="JM25" s="768"/>
      <c r="JN25" s="870"/>
      <c r="JO25" s="769">
        <v>10</v>
      </c>
      <c r="JT25" s="936">
        <v>16.515133926540258</v>
      </c>
      <c r="JU25" s="936">
        <f t="shared" si="64"/>
        <v>-9.6279651628648821E-2</v>
      </c>
      <c r="JV25" s="13">
        <v>578417</v>
      </c>
      <c r="JW25" s="13">
        <f t="shared" si="65"/>
        <v>-96398.571375375905</v>
      </c>
    </row>
    <row r="26" spans="3:294" x14ac:dyDescent="0.3">
      <c r="J26" s="756">
        <v>23</v>
      </c>
      <c r="K26" s="757">
        <v>23</v>
      </c>
      <c r="L26" s="732" t="s">
        <v>430</v>
      </c>
      <c r="M26" s="904">
        <v>482018.4286246241</v>
      </c>
      <c r="N26" s="944">
        <f t="shared" si="66"/>
        <v>2.1926487717515827E-4</v>
      </c>
      <c r="O26" s="753">
        <v>244.63589743589745</v>
      </c>
      <c r="P26" s="948">
        <f t="shared" si="67"/>
        <v>1970.350360175283</v>
      </c>
      <c r="Q26" s="733">
        <f t="shared" si="68"/>
        <v>1.1260411200661828E-3</v>
      </c>
      <c r="R26" s="758" t="s">
        <v>397</v>
      </c>
      <c r="V26" s="730">
        <f t="shared" si="98"/>
        <v>23</v>
      </c>
      <c r="W26" s="731">
        <f t="shared" si="0"/>
        <v>23</v>
      </c>
      <c r="X26" s="732" t="s">
        <v>430</v>
      </c>
      <c r="Y26" s="924">
        <f t="shared" si="69"/>
        <v>60815.970881734203</v>
      </c>
      <c r="Z26" s="944">
        <f t="shared" si="70"/>
        <v>7.2767140468033085E-4</v>
      </c>
      <c r="AD26" s="730">
        <v>23</v>
      </c>
      <c r="AE26" s="746">
        <v>23</v>
      </c>
      <c r="AF26" s="747" t="s">
        <v>430</v>
      </c>
      <c r="AG26" s="748">
        <v>10.01</v>
      </c>
      <c r="AQ26" s="730">
        <f t="shared" si="71"/>
        <v>23</v>
      </c>
      <c r="AR26" s="783">
        <f t="shared" si="1"/>
        <v>23</v>
      </c>
      <c r="AS26" s="732" t="s">
        <v>430</v>
      </c>
      <c r="AT26" s="732">
        <f t="shared" si="2"/>
        <v>10.01</v>
      </c>
      <c r="AU26" s="784">
        <f t="shared" si="72"/>
        <v>482018.4286246241</v>
      </c>
      <c r="AV26" s="784">
        <f t="shared" si="99"/>
        <v>1340.2790195923576</v>
      </c>
      <c r="AW26" s="785">
        <f t="shared" si="3"/>
        <v>1395.4941632282255</v>
      </c>
      <c r="AX26" s="786">
        <f t="shared" si="4"/>
        <v>18.28923031912322</v>
      </c>
      <c r="AY26" s="379">
        <f t="shared" si="108"/>
        <v>25522.514160273149</v>
      </c>
      <c r="AZ26" s="51">
        <f t="shared" si="73"/>
        <v>7.0875867383229571E-4</v>
      </c>
      <c r="BA26" s="53">
        <f t="shared" si="5"/>
        <v>5.2949250000000001</v>
      </c>
      <c r="BL26" s="756">
        <f t="shared" si="100"/>
        <v>23</v>
      </c>
      <c r="BM26" s="758">
        <f t="shared" si="6"/>
        <v>23</v>
      </c>
      <c r="BN26" s="732" t="s">
        <v>430</v>
      </c>
      <c r="BO26" s="733">
        <f t="shared" si="7"/>
        <v>7.0875867383229571E-4</v>
      </c>
      <c r="BP26" s="379">
        <f t="shared" si="74"/>
        <v>5567.7238804687186</v>
      </c>
      <c r="BQ26" s="733">
        <f t="shared" si="8"/>
        <v>2.1926487717515827E-4</v>
      </c>
      <c r="BR26" s="379">
        <f t="shared" si="75"/>
        <v>1722.456934735211</v>
      </c>
      <c r="BS26" s="807">
        <f t="shared" si="9"/>
        <v>7290.1808152039293</v>
      </c>
      <c r="BT26" s="808">
        <f t="shared" si="10"/>
        <v>1.5124280000000001</v>
      </c>
      <c r="BW26" s="1"/>
      <c r="BX26" s="10"/>
      <c r="BY26" s="10"/>
      <c r="BZ26" s="10"/>
      <c r="CA26" s="10"/>
      <c r="CB26" s="10"/>
      <c r="CC26" s="10"/>
      <c r="CD26" s="10"/>
      <c r="CE26" s="10"/>
      <c r="CI26" s="730">
        <f t="shared" si="101"/>
        <v>23</v>
      </c>
      <c r="CJ26" s="746">
        <f t="shared" si="12"/>
        <v>23</v>
      </c>
      <c r="CK26" s="732" t="s">
        <v>430</v>
      </c>
      <c r="CL26" s="733">
        <f t="shared" si="13"/>
        <v>2.1926487717515827E-4</v>
      </c>
      <c r="CM26" s="379">
        <f t="shared" si="14"/>
        <v>1173.9968032964446</v>
      </c>
      <c r="CN26" s="733">
        <f t="shared" si="15"/>
        <v>1.1260411200661828E-3</v>
      </c>
      <c r="CO26" s="379">
        <f t="shared" si="16"/>
        <v>19594.38559038192</v>
      </c>
      <c r="CP26" s="379">
        <f t="shared" si="17"/>
        <v>20768.382393678366</v>
      </c>
      <c r="CQ26" s="733">
        <f t="shared" si="18"/>
        <v>9.1268057450049017E-4</v>
      </c>
      <c r="CR26" s="808">
        <f t="shared" si="19"/>
        <v>4.3086279999999997</v>
      </c>
      <c r="DE26" s="1"/>
      <c r="DH26" s="730">
        <v>23</v>
      </c>
      <c r="DI26" s="840">
        <f t="shared" si="20"/>
        <v>23</v>
      </c>
      <c r="DJ26" s="732" t="s">
        <v>430</v>
      </c>
      <c r="DK26" s="733">
        <f t="shared" si="21"/>
        <v>9.1268057450049017E-4</v>
      </c>
      <c r="DL26" s="379">
        <f t="shared" si="77"/>
        <v>287.5937524415138</v>
      </c>
      <c r="DM26" s="733">
        <f t="shared" si="22"/>
        <v>1.1260411200661828E-3</v>
      </c>
      <c r="DN26" s="379">
        <f t="shared" si="23"/>
        <v>2195.9309005145296</v>
      </c>
      <c r="DO26" s="733">
        <f t="shared" si="24"/>
        <v>2.1926487717515827E-4</v>
      </c>
      <c r="DP26" s="379">
        <f t="shared" si="25"/>
        <v>711.92667582326999</v>
      </c>
      <c r="DQ26" s="379">
        <f t="shared" si="78"/>
        <v>3195.4513287793134</v>
      </c>
      <c r="DR26" s="733">
        <f t="shared" si="26"/>
        <v>5.7971341886673561E-4</v>
      </c>
      <c r="DS26" s="808">
        <f t="shared" si="27"/>
        <v>0.66293100000000005</v>
      </c>
      <c r="DW26" s="730">
        <f t="shared" si="102"/>
        <v>23</v>
      </c>
      <c r="DX26" s="840">
        <f t="shared" si="28"/>
        <v>23</v>
      </c>
      <c r="DY26" s="732" t="s">
        <v>430</v>
      </c>
      <c r="DZ26" s="733">
        <f t="shared" si="29"/>
        <v>1.1260411200661828E-3</v>
      </c>
      <c r="EA26" s="379">
        <f t="shared" si="30"/>
        <v>4039.4421837994482</v>
      </c>
      <c r="EB26" s="808">
        <f t="shared" si="31"/>
        <v>0.83802699999999997</v>
      </c>
      <c r="EN26" s="730">
        <f t="shared" si="103"/>
        <v>23</v>
      </c>
      <c r="EO26" s="840">
        <f t="shared" si="32"/>
        <v>23</v>
      </c>
      <c r="EP26" s="732" t="s">
        <v>430</v>
      </c>
      <c r="EQ26" s="733">
        <f t="shared" si="33"/>
        <v>7.2767140468033085E-4</v>
      </c>
      <c r="ER26" s="379">
        <f t="shared" si="34"/>
        <v>5194.9042887483683</v>
      </c>
      <c r="ES26" s="733">
        <f t="shared" si="35"/>
        <v>9.1268057450049017E-4</v>
      </c>
      <c r="ET26" s="379">
        <f t="shared" si="36"/>
        <v>878.49615587906419</v>
      </c>
      <c r="EU26" s="733">
        <f t="shared" si="37"/>
        <v>2.1926487717515827E-4</v>
      </c>
      <c r="EV26" s="379">
        <f t="shared" si="38"/>
        <v>565.44351191813416</v>
      </c>
      <c r="EW26" s="379">
        <f t="shared" si="39"/>
        <v>6638.8439565455665</v>
      </c>
      <c r="EX26" s="733">
        <f t="shared" si="40"/>
        <v>6.2158900994583623E-4</v>
      </c>
      <c r="EY26" s="808">
        <f t="shared" si="41"/>
        <v>1.3773010000000001</v>
      </c>
      <c r="FI26" s="730">
        <f t="shared" si="104"/>
        <v>23</v>
      </c>
      <c r="FJ26" s="731">
        <f t="shared" si="42"/>
        <v>23</v>
      </c>
      <c r="FK26" s="732" t="s">
        <v>430</v>
      </c>
      <c r="FL26" s="733">
        <f t="shared" si="43"/>
        <v>7.2767140468033085E-4</v>
      </c>
      <c r="FM26" s="379">
        <f t="shared" si="44"/>
        <v>13675.586090552444</v>
      </c>
      <c r="FN26" s="808">
        <f t="shared" si="45"/>
        <v>2.8371499999999998</v>
      </c>
      <c r="FR26" s="730">
        <f t="shared" si="105"/>
        <v>23</v>
      </c>
      <c r="FS26" s="731">
        <v>23</v>
      </c>
      <c r="FT26" s="732" t="s">
        <v>430</v>
      </c>
      <c r="FU26" s="379">
        <f t="shared" si="46"/>
        <v>25522.514160273149</v>
      </c>
      <c r="FV26" s="379">
        <f t="shared" si="47"/>
        <v>7290.1808152039293</v>
      </c>
      <c r="FW26" s="379">
        <f t="shared" si="48"/>
        <v>20768.382393678366</v>
      </c>
      <c r="FX26" s="379">
        <f t="shared" si="49"/>
        <v>3195.4513287793134</v>
      </c>
      <c r="FY26" s="379">
        <f t="shared" si="50"/>
        <v>4039.4421837994482</v>
      </c>
      <c r="FZ26" s="379">
        <f t="shared" si="51"/>
        <v>6638.8439565455665</v>
      </c>
      <c r="GA26" s="379">
        <f t="shared" si="52"/>
        <v>13675.586090552444</v>
      </c>
      <c r="GB26" s="379">
        <f t="shared" si="119"/>
        <v>81130.400928832212</v>
      </c>
      <c r="GC26" s="852">
        <f t="shared" si="54"/>
        <v>16.831389999999999</v>
      </c>
      <c r="GG26" s="730">
        <f t="shared" si="79"/>
        <v>23</v>
      </c>
      <c r="GH26" s="731">
        <f t="shared" si="55"/>
        <v>23</v>
      </c>
      <c r="GI26" s="732" t="s">
        <v>430</v>
      </c>
      <c r="GJ26" s="808">
        <f t="shared" si="56"/>
        <v>5.2949250000000001</v>
      </c>
      <c r="GK26" s="808">
        <f t="shared" si="57"/>
        <v>1.5124280000000001</v>
      </c>
      <c r="GL26" s="808">
        <f t="shared" si="58"/>
        <v>4.3086279999999997</v>
      </c>
      <c r="GM26" s="808">
        <f t="shared" si="59"/>
        <v>0.66293100000000005</v>
      </c>
      <c r="GN26" s="808">
        <f t="shared" si="60"/>
        <v>0.83802699999999997</v>
      </c>
      <c r="GO26" s="808">
        <f t="shared" si="61"/>
        <v>1.3773010000000001</v>
      </c>
      <c r="GP26" s="808">
        <f t="shared" si="62"/>
        <v>2.8371499999999998</v>
      </c>
      <c r="GQ26" s="808">
        <f t="shared" si="63"/>
        <v>16.831389999999999</v>
      </c>
      <c r="GR26" s="784">
        <f t="shared" si="80"/>
        <v>482018.4286246241</v>
      </c>
      <c r="GS26" s="716"/>
      <c r="GV26" s="717">
        <f t="shared" si="81"/>
        <v>23</v>
      </c>
      <c r="GW26" s="731">
        <v>23</v>
      </c>
      <c r="GX26" s="732" t="s">
        <v>430</v>
      </c>
      <c r="GY26" s="758" t="s">
        <v>397</v>
      </c>
      <c r="GZ26" s="906">
        <f t="shared" si="82"/>
        <v>81130.400928832212</v>
      </c>
      <c r="HA26" s="784">
        <f t="shared" si="83"/>
        <v>482018.4286246241</v>
      </c>
      <c r="HB26" s="922">
        <f t="shared" si="109"/>
        <v>16.831389999999999</v>
      </c>
      <c r="HC26" s="942">
        <f t="shared" si="85"/>
        <v>81130.401593682109</v>
      </c>
      <c r="HD26" s="857">
        <v>-1.6334650717908517E-3</v>
      </c>
      <c r="HE26" s="54"/>
      <c r="HH26" s="54"/>
      <c r="HI26" s="54"/>
      <c r="HJ26" s="54"/>
      <c r="HK26" s="54"/>
      <c r="HL26" s="54"/>
      <c r="HM26" s="54"/>
      <c r="HN26" s="54"/>
      <c r="HQ26" s="730">
        <v>23</v>
      </c>
      <c r="HR26" s="867">
        <v>23</v>
      </c>
      <c r="HS26" s="732" t="s">
        <v>430</v>
      </c>
      <c r="HT26" s="784">
        <f t="shared" si="86"/>
        <v>482018.4286246241</v>
      </c>
      <c r="HU26" s="917">
        <f t="shared" si="87"/>
        <v>16.831389999999999</v>
      </c>
      <c r="HV26" s="868"/>
      <c r="HW26" s="765"/>
      <c r="HX26" s="868">
        <v>-2.4698649999999986</v>
      </c>
      <c r="HY26" s="766">
        <v>25</v>
      </c>
      <c r="IP26" s="730">
        <v>23</v>
      </c>
      <c r="IQ26" s="867">
        <v>23</v>
      </c>
      <c r="IR26" s="732" t="s">
        <v>430</v>
      </c>
      <c r="IS26" s="913">
        <f t="shared" si="106"/>
        <v>81130.401593682109</v>
      </c>
      <c r="IT26" s="915">
        <f t="shared" si="88"/>
        <v>482018.4286246241</v>
      </c>
      <c r="IU26" s="918">
        <f t="shared" si="89"/>
        <v>16.831389999999999</v>
      </c>
      <c r="IV26" s="904">
        <f t="shared" si="120"/>
        <v>70688.459456993616</v>
      </c>
      <c r="IW26" s="904">
        <f t="shared" si="91"/>
        <v>411329.96916763048</v>
      </c>
      <c r="IX26" s="913">
        <f t="shared" si="121"/>
        <v>1060.3268918549043</v>
      </c>
      <c r="IY26" s="881">
        <f t="shared" si="93"/>
        <v>80070.074701827209</v>
      </c>
      <c r="IZ26" s="928">
        <f t="shared" si="122"/>
        <v>16.611413578168907</v>
      </c>
      <c r="JA26" s="928">
        <f t="shared" si="123"/>
        <v>18.111413578168907</v>
      </c>
      <c r="JB26" s="913">
        <f t="shared" si="107"/>
        <v>81130.401593682109</v>
      </c>
      <c r="JC26" s="852">
        <v>0.2222328177184707</v>
      </c>
      <c r="JG26" s="730">
        <v>23</v>
      </c>
      <c r="JH26" s="867">
        <v>23</v>
      </c>
      <c r="JI26" s="732" t="s">
        <v>430</v>
      </c>
      <c r="JJ26" s="784">
        <f t="shared" si="96"/>
        <v>482018.4286246241</v>
      </c>
      <c r="JK26" s="917">
        <f t="shared" si="97"/>
        <v>16.611413578168907</v>
      </c>
      <c r="JL26" s="868">
        <v>19.138999999999999</v>
      </c>
      <c r="JM26" s="765"/>
      <c r="JN26" s="868"/>
      <c r="JO26" s="766">
        <v>25</v>
      </c>
      <c r="JT26" s="936">
        <v>0</v>
      </c>
      <c r="JU26" s="936">
        <f t="shared" si="64"/>
        <v>0</v>
      </c>
      <c r="JV26" s="13">
        <v>0</v>
      </c>
      <c r="JW26" s="13">
        <f t="shared" si="65"/>
        <v>0</v>
      </c>
    </row>
    <row r="27" spans="3:294" ht="17.25" thickBot="1" x14ac:dyDescent="0.35">
      <c r="J27" s="456">
        <v>24</v>
      </c>
      <c r="K27" s="760">
        <v>24</v>
      </c>
      <c r="L27" s="565" t="s">
        <v>431</v>
      </c>
      <c r="M27" s="905"/>
      <c r="N27" s="945">
        <f t="shared" si="66"/>
        <v>0</v>
      </c>
      <c r="O27" s="754">
        <v>576</v>
      </c>
      <c r="P27" s="949">
        <f t="shared" si="67"/>
        <v>0</v>
      </c>
      <c r="Q27" s="697">
        <f t="shared" si="68"/>
        <v>0</v>
      </c>
      <c r="R27" s="553" t="s">
        <v>402</v>
      </c>
      <c r="V27" s="736">
        <f t="shared" si="98"/>
        <v>24</v>
      </c>
      <c r="W27" s="737">
        <f t="shared" si="0"/>
        <v>24</v>
      </c>
      <c r="X27" s="565" t="s">
        <v>431</v>
      </c>
      <c r="Y27" s="924">
        <f t="shared" si="69"/>
        <v>0</v>
      </c>
      <c r="Z27" s="945">
        <f t="shared" si="70"/>
        <v>0</v>
      </c>
      <c r="AD27" s="749">
        <v>24</v>
      </c>
      <c r="AE27" s="750">
        <v>24</v>
      </c>
      <c r="AF27" s="751" t="s">
        <v>431</v>
      </c>
      <c r="AG27" s="752">
        <v>5.4</v>
      </c>
      <c r="AQ27" s="736">
        <f t="shared" si="71"/>
        <v>24</v>
      </c>
      <c r="AR27" s="791">
        <f t="shared" si="1"/>
        <v>24</v>
      </c>
      <c r="AS27" s="565" t="s">
        <v>431</v>
      </c>
      <c r="AT27" s="565">
        <f t="shared" si="2"/>
        <v>5.4</v>
      </c>
      <c r="AU27" s="792">
        <f t="shared" si="72"/>
        <v>0</v>
      </c>
      <c r="AV27" s="792">
        <f t="shared" si="99"/>
        <v>0</v>
      </c>
      <c r="AW27" s="793">
        <f t="shared" si="3"/>
        <v>0</v>
      </c>
      <c r="AX27" s="794">
        <f t="shared" si="4"/>
        <v>18.28923031912322</v>
      </c>
      <c r="AY27" s="571">
        <f t="shared" si="108"/>
        <v>0</v>
      </c>
      <c r="AZ27" s="56">
        <f t="shared" si="73"/>
        <v>0</v>
      </c>
      <c r="BA27" s="68">
        <f t="shared" si="5"/>
        <v>0</v>
      </c>
      <c r="BE27" s="1"/>
      <c r="BF27" s="1"/>
      <c r="BG27" s="1"/>
      <c r="BH27" s="1"/>
      <c r="BL27" s="456">
        <f t="shared" si="100"/>
        <v>24</v>
      </c>
      <c r="BM27" s="553">
        <f t="shared" si="6"/>
        <v>24</v>
      </c>
      <c r="BN27" s="565" t="s">
        <v>431</v>
      </c>
      <c r="BO27" s="697">
        <f t="shared" si="7"/>
        <v>0</v>
      </c>
      <c r="BP27" s="571">
        <f t="shared" si="74"/>
        <v>0</v>
      </c>
      <c r="BQ27" s="697">
        <f t="shared" si="8"/>
        <v>0</v>
      </c>
      <c r="BR27" s="571">
        <f t="shared" si="75"/>
        <v>0</v>
      </c>
      <c r="BS27" s="811">
        <f t="shared" si="9"/>
        <v>0</v>
      </c>
      <c r="BT27" s="812">
        <f>IF($AU27=0,0,ROUND(IF(VLOOKUP(BM27,$AR$4:$AU$27,$BA$30,FALSE)&lt;&gt;0,BS27/VLOOKUP(BM27,$AR$4:$AU$27,$BA$30,FALSE)*100,""),6))</f>
        <v>0</v>
      </c>
      <c r="BW27" s="1"/>
      <c r="BX27" s="10"/>
      <c r="BY27" s="10"/>
      <c r="BZ27" s="10"/>
      <c r="CA27" s="10"/>
      <c r="CB27" s="10"/>
      <c r="CC27" s="10"/>
      <c r="CD27" s="10"/>
      <c r="CE27" s="10"/>
      <c r="CI27" s="736">
        <f t="shared" si="101"/>
        <v>24</v>
      </c>
      <c r="CJ27" s="829">
        <f t="shared" si="12"/>
        <v>24</v>
      </c>
      <c r="CK27" s="565" t="s">
        <v>431</v>
      </c>
      <c r="CL27" s="556">
        <f t="shared" si="13"/>
        <v>0</v>
      </c>
      <c r="CM27" s="458">
        <f t="shared" si="14"/>
        <v>0</v>
      </c>
      <c r="CN27" s="556">
        <f t="shared" si="15"/>
        <v>0</v>
      </c>
      <c r="CO27" s="458">
        <f t="shared" si="16"/>
        <v>0</v>
      </c>
      <c r="CP27" s="458">
        <f t="shared" si="17"/>
        <v>0</v>
      </c>
      <c r="CQ27" s="556">
        <f t="shared" si="18"/>
        <v>0</v>
      </c>
      <c r="CR27" s="555">
        <f t="shared" si="19"/>
        <v>0</v>
      </c>
      <c r="DE27" s="1"/>
      <c r="DH27" s="736">
        <v>24</v>
      </c>
      <c r="DI27" s="841">
        <f t="shared" si="20"/>
        <v>24</v>
      </c>
      <c r="DJ27" s="565" t="s">
        <v>431</v>
      </c>
      <c r="DK27" s="556">
        <f t="shared" si="21"/>
        <v>0</v>
      </c>
      <c r="DL27" s="458">
        <f t="shared" si="77"/>
        <v>0</v>
      </c>
      <c r="DM27" s="556">
        <f t="shared" si="22"/>
        <v>0</v>
      </c>
      <c r="DN27" s="458">
        <f t="shared" si="23"/>
        <v>0</v>
      </c>
      <c r="DO27" s="556">
        <f t="shared" si="24"/>
        <v>0</v>
      </c>
      <c r="DP27" s="458">
        <f t="shared" si="25"/>
        <v>0</v>
      </c>
      <c r="DQ27" s="458">
        <f t="shared" si="78"/>
        <v>0</v>
      </c>
      <c r="DR27" s="556">
        <f t="shared" si="26"/>
        <v>0</v>
      </c>
      <c r="DS27" s="555">
        <f t="shared" si="27"/>
        <v>0</v>
      </c>
      <c r="DW27" s="736">
        <f t="shared" si="102"/>
        <v>24</v>
      </c>
      <c r="DX27" s="841">
        <f t="shared" si="28"/>
        <v>24</v>
      </c>
      <c r="DY27" s="565" t="s">
        <v>431</v>
      </c>
      <c r="DZ27" s="556">
        <f t="shared" si="29"/>
        <v>0</v>
      </c>
      <c r="EA27" s="458">
        <f t="shared" si="30"/>
        <v>0</v>
      </c>
      <c r="EB27" s="555">
        <f t="shared" si="31"/>
        <v>0</v>
      </c>
      <c r="EN27" s="736">
        <f t="shared" si="103"/>
        <v>24</v>
      </c>
      <c r="EO27" s="841">
        <f t="shared" si="32"/>
        <v>24</v>
      </c>
      <c r="EP27" s="565" t="s">
        <v>431</v>
      </c>
      <c r="EQ27" s="556">
        <f t="shared" si="33"/>
        <v>0</v>
      </c>
      <c r="ER27" s="458">
        <f t="shared" si="34"/>
        <v>0</v>
      </c>
      <c r="ES27" s="556">
        <f t="shared" si="35"/>
        <v>0</v>
      </c>
      <c r="ET27" s="458">
        <f t="shared" si="36"/>
        <v>0</v>
      </c>
      <c r="EU27" s="556">
        <f t="shared" si="37"/>
        <v>0</v>
      </c>
      <c r="EV27" s="458">
        <f t="shared" si="38"/>
        <v>0</v>
      </c>
      <c r="EW27" s="458">
        <f t="shared" si="39"/>
        <v>0</v>
      </c>
      <c r="EX27" s="556">
        <f t="shared" si="40"/>
        <v>0</v>
      </c>
      <c r="EY27" s="555">
        <f t="shared" si="41"/>
        <v>0</v>
      </c>
      <c r="FI27" s="736">
        <f t="shared" si="104"/>
        <v>24</v>
      </c>
      <c r="FJ27" s="737">
        <f t="shared" si="42"/>
        <v>24</v>
      </c>
      <c r="FK27" s="565" t="s">
        <v>431</v>
      </c>
      <c r="FL27" s="556">
        <f t="shared" si="43"/>
        <v>0</v>
      </c>
      <c r="FM27" s="458">
        <f t="shared" si="44"/>
        <v>0</v>
      </c>
      <c r="FN27" s="555">
        <f t="shared" si="45"/>
        <v>0</v>
      </c>
      <c r="FR27" s="736">
        <f t="shared" si="105"/>
        <v>24</v>
      </c>
      <c r="FS27" s="737">
        <v>24</v>
      </c>
      <c r="FT27" s="565" t="s">
        <v>431</v>
      </c>
      <c r="FU27" s="458">
        <f t="shared" si="46"/>
        <v>0</v>
      </c>
      <c r="FV27" s="458">
        <f t="shared" si="47"/>
        <v>0</v>
      </c>
      <c r="FW27" s="458">
        <f t="shared" si="48"/>
        <v>0</v>
      </c>
      <c r="FX27" s="458">
        <f t="shared" si="49"/>
        <v>0</v>
      </c>
      <c r="FY27" s="458">
        <f t="shared" si="50"/>
        <v>0</v>
      </c>
      <c r="FZ27" s="458">
        <f t="shared" si="51"/>
        <v>0</v>
      </c>
      <c r="GA27" s="458">
        <f t="shared" si="52"/>
        <v>0</v>
      </c>
      <c r="GB27" s="458">
        <f t="shared" si="119"/>
        <v>0</v>
      </c>
      <c r="GC27" s="853">
        <f t="shared" si="54"/>
        <v>0</v>
      </c>
      <c r="GG27" s="736">
        <f t="shared" si="79"/>
        <v>24</v>
      </c>
      <c r="GH27" s="737">
        <f t="shared" si="55"/>
        <v>24</v>
      </c>
      <c r="GI27" s="565" t="s">
        <v>431</v>
      </c>
      <c r="GJ27" s="555">
        <f t="shared" si="56"/>
        <v>0</v>
      </c>
      <c r="GK27" s="555">
        <f t="shared" si="57"/>
        <v>0</v>
      </c>
      <c r="GL27" s="555">
        <f t="shared" si="58"/>
        <v>0</v>
      </c>
      <c r="GM27" s="555">
        <f t="shared" si="59"/>
        <v>0</v>
      </c>
      <c r="GN27" s="555">
        <f t="shared" si="60"/>
        <v>0</v>
      </c>
      <c r="GO27" s="555">
        <f t="shared" si="61"/>
        <v>0</v>
      </c>
      <c r="GP27" s="555">
        <f t="shared" si="62"/>
        <v>0</v>
      </c>
      <c r="GQ27" s="555">
        <f t="shared" si="63"/>
        <v>0</v>
      </c>
      <c r="GR27" s="792">
        <f t="shared" si="80"/>
        <v>0</v>
      </c>
      <c r="GS27" s="716"/>
      <c r="GV27" s="719">
        <f t="shared" si="81"/>
        <v>24</v>
      </c>
      <c r="GW27" s="737">
        <v>24</v>
      </c>
      <c r="GX27" s="565" t="s">
        <v>431</v>
      </c>
      <c r="GY27" s="553" t="s">
        <v>402</v>
      </c>
      <c r="GZ27" s="925">
        <f t="shared" si="82"/>
        <v>0</v>
      </c>
      <c r="HA27" s="792">
        <f t="shared" si="83"/>
        <v>0</v>
      </c>
      <c r="HB27" s="922">
        <f t="shared" si="109"/>
        <v>0</v>
      </c>
      <c r="HC27" s="942">
        <f t="shared" si="85"/>
        <v>0</v>
      </c>
      <c r="HD27" s="859">
        <v>1.3251176715129986E-3</v>
      </c>
      <c r="HE27" s="54"/>
      <c r="HH27" s="54"/>
      <c r="HI27" s="54"/>
      <c r="HJ27" s="54"/>
      <c r="HK27" s="54"/>
      <c r="HL27" s="54"/>
      <c r="HM27" s="54"/>
      <c r="HN27" s="54"/>
      <c r="HQ27" s="734">
        <v>24</v>
      </c>
      <c r="HR27" s="869">
        <v>24</v>
      </c>
      <c r="HS27" s="518" t="s">
        <v>431</v>
      </c>
      <c r="HT27" s="792">
        <f t="shared" si="86"/>
        <v>0</v>
      </c>
      <c r="HU27" s="917">
        <f t="shared" si="87"/>
        <v>0</v>
      </c>
      <c r="HV27" s="870"/>
      <c r="HW27" s="768"/>
      <c r="HX27" s="870">
        <v>-1.5297739999999997</v>
      </c>
      <c r="HY27" s="769">
        <v>10</v>
      </c>
      <c r="IP27" s="736">
        <v>24</v>
      </c>
      <c r="IQ27" s="884">
        <v>24</v>
      </c>
      <c r="IR27" s="565" t="s">
        <v>431</v>
      </c>
      <c r="IS27" s="914">
        <f t="shared" si="106"/>
        <v>0</v>
      </c>
      <c r="IT27" s="916">
        <f t="shared" si="88"/>
        <v>0</v>
      </c>
      <c r="IU27" s="920">
        <f t="shared" si="89"/>
        <v>0</v>
      </c>
      <c r="IV27" s="905">
        <v>0</v>
      </c>
      <c r="IW27" s="905">
        <f t="shared" si="91"/>
        <v>0</v>
      </c>
      <c r="IX27" s="914">
        <v>0</v>
      </c>
      <c r="IY27" s="885">
        <f t="shared" si="93"/>
        <v>0</v>
      </c>
      <c r="IZ27" s="928">
        <f>IU27</f>
        <v>0</v>
      </c>
      <c r="JA27" s="929">
        <f>IZ27</f>
        <v>0</v>
      </c>
      <c r="JB27" s="914">
        <f t="shared" si="107"/>
        <v>0</v>
      </c>
      <c r="JC27" s="886">
        <v>0</v>
      </c>
      <c r="JG27" s="734">
        <v>24</v>
      </c>
      <c r="JH27" s="869">
        <v>24</v>
      </c>
      <c r="JI27" s="518" t="s">
        <v>431</v>
      </c>
      <c r="JJ27" s="792">
        <f t="shared" si="96"/>
        <v>0</v>
      </c>
      <c r="JK27" s="917">
        <f t="shared" si="97"/>
        <v>0</v>
      </c>
      <c r="JL27" s="870">
        <v>10.321</v>
      </c>
      <c r="JM27" s="768"/>
      <c r="JN27" s="870"/>
      <c r="JO27" s="769">
        <v>10</v>
      </c>
      <c r="JT27" s="937">
        <v>4.9211555552511586</v>
      </c>
      <c r="JU27" s="937">
        <f t="shared" si="64"/>
        <v>-4.8553217848823493E-3</v>
      </c>
      <c r="JV27" s="938">
        <f>SUM(JV3:JV26)</f>
        <v>2202811268</v>
      </c>
      <c r="JW27" s="938">
        <f t="shared" si="65"/>
        <v>-4472734.1017189026</v>
      </c>
    </row>
    <row r="28" spans="3:294" ht="17.25" thickBot="1" x14ac:dyDescent="0.35">
      <c r="G28" s="1"/>
      <c r="I28" s="1"/>
      <c r="J28" s="738">
        <v>25</v>
      </c>
      <c r="K28" s="761"/>
      <c r="L28" s="762" t="s">
        <v>72</v>
      </c>
      <c r="M28" s="755">
        <f>SUM(M4:M27)</f>
        <v>2198338533.8982811</v>
      </c>
      <c r="N28" s="742">
        <v>0.99999999999999967</v>
      </c>
      <c r="O28" s="755">
        <v>18014.483727240997</v>
      </c>
      <c r="P28" s="755">
        <f>SUM(P4:P27)</f>
        <v>1749803.204397612</v>
      </c>
      <c r="Q28" s="742">
        <f>SUM(Q4:Q27)</f>
        <v>0.99999999999999967</v>
      </c>
      <c r="R28" s="763"/>
      <c r="S28" s="1"/>
      <c r="U28" s="1"/>
      <c r="V28" s="738">
        <f>+V27+1</f>
        <v>25</v>
      </c>
      <c r="W28" s="739"/>
      <c r="X28" s="740" t="s">
        <v>72</v>
      </c>
      <c r="Y28" s="939">
        <f>SUM(Y4:Y27)</f>
        <v>83576145.071209595</v>
      </c>
      <c r="Z28" s="742">
        <v>0.99999999999999967</v>
      </c>
      <c r="AA28" s="1"/>
      <c r="AC28" s="1"/>
      <c r="AD28" s="720"/>
      <c r="AH28" s="1"/>
      <c r="AJ28" s="1"/>
      <c r="AK28" s="1"/>
      <c r="AL28" s="1"/>
      <c r="AM28" s="1"/>
      <c r="AQ28" s="738">
        <f>+AQ27+1</f>
        <v>25</v>
      </c>
      <c r="AR28" s="795"/>
      <c r="AS28" s="796" t="s">
        <v>72</v>
      </c>
      <c r="AT28" s="797">
        <f>AM7</f>
        <v>3.1019864894695965</v>
      </c>
      <c r="AU28" s="755">
        <f>SUM(AU4:AU27)</f>
        <v>2198338533.8982811</v>
      </c>
      <c r="AV28" s="755">
        <f>SUM(AV4:AV27)</f>
        <v>1891023.0930161297</v>
      </c>
      <c r="AW28" s="755">
        <f>SUM(AW4:AW27)</f>
        <v>1968927.1041759741</v>
      </c>
      <c r="AX28" s="798">
        <f>SUMPRODUCT(AX4:AX27,AU4:AU27)/AU28</f>
        <v>18.289230319123224</v>
      </c>
      <c r="AY28" s="799">
        <f>SUM(AY4:AY27)</f>
        <v>36010161.289838701</v>
      </c>
      <c r="AZ28" s="73">
        <f t="shared" si="73"/>
        <v>1</v>
      </c>
      <c r="BA28" s="74">
        <f>AY28*100/$M$28</f>
        <v>1.6380625974827643</v>
      </c>
      <c r="BB28" s="1"/>
      <c r="BD28" s="1"/>
      <c r="BE28" s="49"/>
      <c r="BF28" s="49"/>
      <c r="BG28" s="49"/>
      <c r="BH28" s="49"/>
      <c r="BI28" s="1"/>
      <c r="BK28" s="1"/>
      <c r="BL28" s="813">
        <f>+BL27+1</f>
        <v>25</v>
      </c>
      <c r="BM28" s="814"/>
      <c r="BN28" s="815" t="s">
        <v>72</v>
      </c>
      <c r="BO28" s="816">
        <f>SUM(BO4:BO27)</f>
        <v>1.0000000000000002</v>
      </c>
      <c r="BP28" s="817">
        <f>BH4</f>
        <v>7855598.930964387</v>
      </c>
      <c r="BQ28" s="818">
        <f>SUM(BQ4:BQ27)</f>
        <v>1.0000000000000002</v>
      </c>
      <c r="BR28" s="817">
        <f>BH5</f>
        <v>7855598.930964387</v>
      </c>
      <c r="BS28" s="819">
        <f>D6</f>
        <v>15711197.861928774</v>
      </c>
      <c r="BT28" s="820">
        <f>BS28*100/$M$28</f>
        <v>0.7146850960242388</v>
      </c>
      <c r="BU28" s="1"/>
      <c r="BW28" s="1"/>
      <c r="BX28" s="10"/>
      <c r="BY28" s="10"/>
      <c r="BZ28" s="10"/>
      <c r="CA28" s="10"/>
      <c r="CB28" s="10"/>
      <c r="CC28" s="10"/>
      <c r="CD28" s="10"/>
      <c r="CE28" s="10"/>
      <c r="CF28" s="1"/>
      <c r="CI28" s="738">
        <f>CI27+1</f>
        <v>25</v>
      </c>
      <c r="CJ28" s="739"/>
      <c r="CK28" s="762" t="s">
        <v>72</v>
      </c>
      <c r="CL28" s="830">
        <f>SUM(CL4:CL27)</f>
        <v>1.0000000000000002</v>
      </c>
      <c r="CM28" s="817">
        <f>CD9</f>
        <v>5354240.1246443363</v>
      </c>
      <c r="CN28" s="830">
        <f>SUM(CN4:CN27)</f>
        <v>0.99999999999999967</v>
      </c>
      <c r="CO28" s="817">
        <f>CE9</f>
        <v>17401127.935035147</v>
      </c>
      <c r="CP28" s="817">
        <f>SUM(CP4:CP27)</f>
        <v>22755368.059679475</v>
      </c>
      <c r="CQ28" s="830">
        <f>SUM(CQ4:CQ27)</f>
        <v>1.0000000000000002</v>
      </c>
      <c r="CR28" s="820">
        <f>CP28*100/$M$28</f>
        <v>1.0351166441743491</v>
      </c>
      <c r="CU28" s="1"/>
      <c r="DE28" s="1"/>
      <c r="DG28" s="78"/>
      <c r="DH28" s="738">
        <v>25</v>
      </c>
      <c r="DI28" s="71"/>
      <c r="DJ28" s="72" t="s">
        <v>72</v>
      </c>
      <c r="DK28" s="77">
        <f>SUM(DK4:DK27)</f>
        <v>1.0000000000000002</v>
      </c>
      <c r="DL28" s="60">
        <f>DA7</f>
        <v>315108.8786993344</v>
      </c>
      <c r="DM28" s="77">
        <f>SUM(DM4:DM27)</f>
        <v>0.99999999999999967</v>
      </c>
      <c r="DN28" s="60">
        <f>DB7</f>
        <v>1950133.8462537355</v>
      </c>
      <c r="DO28" s="77">
        <f>SUM(DO4:DO27)</f>
        <v>1.0000000000000002</v>
      </c>
      <c r="DP28" s="60">
        <f>DC7</f>
        <v>3246879.6872312212</v>
      </c>
      <c r="DQ28" s="60">
        <f>SUM(DQ4:DQ27)</f>
        <v>5512122.4121842915</v>
      </c>
      <c r="DR28" s="77">
        <f>SUM(DR4:DR27)</f>
        <v>0.99999999999999989</v>
      </c>
      <c r="DS28" s="76">
        <f>DQ28*100/$M$28</f>
        <v>0.25074038084615324</v>
      </c>
      <c r="DT28" s="49"/>
      <c r="DV28" s="49"/>
      <c r="DW28" s="738">
        <f>DW27+1</f>
        <v>25</v>
      </c>
      <c r="DX28" s="71"/>
      <c r="DY28" s="72" t="s">
        <v>72</v>
      </c>
      <c r="DZ28" s="77">
        <f>SUM(DZ4:DZ27)</f>
        <v>0.99999999999999967</v>
      </c>
      <c r="EA28" s="60">
        <f>D9</f>
        <v>3587295.4475783538</v>
      </c>
      <c r="EB28" s="76">
        <f>EA28*100/$M$28</f>
        <v>0.16318212105471563</v>
      </c>
      <c r="EC28" s="49"/>
      <c r="EE28" s="1"/>
      <c r="EK28" s="1"/>
      <c r="EM28" s="1"/>
      <c r="EN28" s="738">
        <f>+EN27+1</f>
        <v>25</v>
      </c>
      <c r="EO28" s="71"/>
      <c r="EP28" s="72" t="s">
        <v>72</v>
      </c>
      <c r="EQ28" s="77">
        <f>SUM(EQ4:EQ27)</f>
        <v>0.99999999999999978</v>
      </c>
      <c r="ER28" s="60">
        <f>EJ4</f>
        <v>7139079.8859692886</v>
      </c>
      <c r="ES28" s="77">
        <f>SUM(ES4:ES27)</f>
        <v>1.0000000000000002</v>
      </c>
      <c r="ET28" s="60">
        <f>EJ5</f>
        <v>962545.03538641089</v>
      </c>
      <c r="EU28" s="77">
        <f>SUM(EU4:EU27)</f>
        <v>1.0000000000000002</v>
      </c>
      <c r="EV28" s="60">
        <f>EJ6</f>
        <v>2578814.8070173291</v>
      </c>
      <c r="EW28" s="60">
        <f>SUM(EW4:EW27)</f>
        <v>10680439.728373028</v>
      </c>
      <c r="EX28" s="77">
        <f>SUM(EX4:EX27)</f>
        <v>0.99999999999999978</v>
      </c>
      <c r="EY28" s="76">
        <f>EW28*100/$M$28</f>
        <v>0.48584144633236098</v>
      </c>
      <c r="EZ28" s="1"/>
      <c r="FB28" s="1"/>
      <c r="FF28" s="1"/>
      <c r="FH28" s="49"/>
      <c r="FI28" s="738">
        <f>+FI27+1</f>
        <v>25</v>
      </c>
      <c r="FJ28" s="79"/>
      <c r="FK28" s="58" t="s">
        <v>72</v>
      </c>
      <c r="FL28" s="77">
        <f t="shared" si="43"/>
        <v>0.99999999999999967</v>
      </c>
      <c r="FM28" s="60">
        <f>FE6</f>
        <v>18793628.556230251</v>
      </c>
      <c r="FN28" s="76">
        <f>FM28*100/$M$28</f>
        <v>0.85490147520199222</v>
      </c>
      <c r="FO28" s="1"/>
      <c r="FR28" s="738">
        <f>+FR27+1</f>
        <v>25</v>
      </c>
      <c r="FS28" s="80"/>
      <c r="FT28" s="75" t="s">
        <v>72</v>
      </c>
      <c r="FU28" s="817">
        <f t="shared" ref="FU28:GA28" si="124">SUM(FU4:FU27)</f>
        <v>36010161.289838701</v>
      </c>
      <c r="FV28" s="817">
        <f t="shared" si="124"/>
        <v>15711197.861928772</v>
      </c>
      <c r="FW28" s="817">
        <f t="shared" si="124"/>
        <v>22755368.059679475</v>
      </c>
      <c r="FX28" s="817">
        <f t="shared" si="124"/>
        <v>5512122.4121842915</v>
      </c>
      <c r="FY28" s="817">
        <f t="shared" si="124"/>
        <v>3587295.4475783529</v>
      </c>
      <c r="FZ28" s="817">
        <f t="shared" si="124"/>
        <v>10680439.728373028</v>
      </c>
      <c r="GA28" s="817">
        <f t="shared" si="124"/>
        <v>18793628.556230247</v>
      </c>
      <c r="GB28" s="817">
        <f>SUM(FU28:GA28)</f>
        <v>113050213.35581288</v>
      </c>
      <c r="GC28" s="854">
        <v>5.1731248696411978</v>
      </c>
      <c r="GD28" s="1"/>
      <c r="GG28" s="738">
        <v>25</v>
      </c>
      <c r="GH28" s="855"/>
      <c r="GI28" s="762" t="s">
        <v>72</v>
      </c>
      <c r="GJ28" s="820">
        <f t="shared" ref="GJ28:GQ28" si="125">FU28*100/$GR$28</f>
        <v>1.6380625974827643</v>
      </c>
      <c r="GK28" s="820">
        <f t="shared" si="125"/>
        <v>0.7146850960242388</v>
      </c>
      <c r="GL28" s="820">
        <f t="shared" si="125"/>
        <v>1.0351166441743491</v>
      </c>
      <c r="GM28" s="820">
        <f t="shared" si="125"/>
        <v>0.25074038084615324</v>
      </c>
      <c r="GN28" s="820">
        <f t="shared" si="125"/>
        <v>0.16318212105471558</v>
      </c>
      <c r="GO28" s="820">
        <f t="shared" si="125"/>
        <v>0.48584144633236098</v>
      </c>
      <c r="GP28" s="820">
        <f t="shared" si="125"/>
        <v>0.854901475201992</v>
      </c>
      <c r="GQ28" s="854">
        <f t="shared" si="125"/>
        <v>5.1425297611165739</v>
      </c>
      <c r="GR28" s="755">
        <f>SUM(GR4:GR27)</f>
        <v>2198338533.8982811</v>
      </c>
      <c r="GS28" s="716"/>
      <c r="GV28" s="721">
        <v>25</v>
      </c>
      <c r="GW28" s="80"/>
      <c r="GX28" s="75" t="s">
        <v>72</v>
      </c>
      <c r="GY28" s="70"/>
      <c r="GZ28" s="60">
        <f>SUM(GZ4:GZ27)</f>
        <v>113050213.35581285</v>
      </c>
      <c r="HA28" s="81">
        <f>SUM(HA4:HA27)</f>
        <v>2198338533.8982811</v>
      </c>
      <c r="HB28" s="923">
        <f>IF(HA28&lt;&gt;0,GZ28/HA28*100,0)</f>
        <v>5.142529761116573</v>
      </c>
      <c r="HC28" s="60">
        <f>SUM(HC4:HC27)</f>
        <v>113050216.11371607</v>
      </c>
      <c r="HD28" s="62">
        <f>SUM(HD4:HD27)</f>
        <v>-2.9150733718854553</v>
      </c>
      <c r="HE28" s="82"/>
      <c r="HH28" s="82"/>
      <c r="HI28" s="82"/>
      <c r="HJ28" s="82"/>
      <c r="HK28" s="82"/>
      <c r="HL28" s="82"/>
      <c r="HM28" s="82"/>
      <c r="HN28" s="82"/>
      <c r="HQ28" s="738">
        <v>25</v>
      </c>
      <c r="HR28" s="871" t="s">
        <v>72</v>
      </c>
      <c r="HS28" s="762"/>
      <c r="HT28" s="872">
        <v>2172816411.6368828</v>
      </c>
      <c r="HU28" s="921">
        <f>SUMPRODUCT(HT4:HT27,HU4:HU27)/SUM(HT4:HT27)</f>
        <v>5.1425298865705535</v>
      </c>
      <c r="HV28" s="873"/>
      <c r="HW28" s="874"/>
      <c r="HX28" s="873">
        <v>-1.1081743881537101</v>
      </c>
      <c r="HY28" s="875"/>
      <c r="HZ28" s="1"/>
      <c r="IB28" s="1"/>
      <c r="IM28" s="1"/>
      <c r="IO28" s="1"/>
      <c r="IP28" s="887">
        <v>25</v>
      </c>
      <c r="IQ28" s="871" t="s">
        <v>72</v>
      </c>
      <c r="IR28" s="762"/>
      <c r="IS28" s="888">
        <f>SUM(IS4:IS27)</f>
        <v>113050216.11371607</v>
      </c>
      <c r="IT28" s="872">
        <f>M28</f>
        <v>2198338533.8982811</v>
      </c>
      <c r="IU28" s="889">
        <f t="shared" si="89"/>
        <v>5.142529761116573</v>
      </c>
      <c r="IV28" s="912">
        <f>SUM(IV4:IV27)</f>
        <v>317321387.98747265</v>
      </c>
      <c r="IW28" s="912">
        <f>IT28-IV28</f>
        <v>1881017145.9108086</v>
      </c>
      <c r="IX28" s="888">
        <f>SUM(IX4:IX27)</f>
        <v>4759820.8198120892</v>
      </c>
      <c r="IY28" s="888">
        <f>SUM(IY4:IY27)</f>
        <v>108290395.29390396</v>
      </c>
      <c r="IZ28" s="854">
        <f>IY28/IT28*100</f>
        <v>4.9260108770360409</v>
      </c>
      <c r="JA28" s="931">
        <f>SUMPRODUCT(IV4:IV27,JA4:JA27)/SUM(IV4:IV27)</f>
        <v>6.4003852379232073</v>
      </c>
      <c r="JB28" s="888">
        <v>112402506.296179</v>
      </c>
      <c r="JC28" s="890"/>
      <c r="JG28" s="738">
        <v>25</v>
      </c>
      <c r="JH28" s="871" t="s">
        <v>72</v>
      </c>
      <c r="JI28" s="762"/>
      <c r="JJ28" s="872">
        <f>M28</f>
        <v>2198338533.8982811</v>
      </c>
      <c r="JK28" s="917">
        <f t="shared" si="97"/>
        <v>4.9260108770360409</v>
      </c>
      <c r="JL28" s="873">
        <v>6.0600640732101736</v>
      </c>
      <c r="JM28" s="874">
        <v>-0.18249978315112181</v>
      </c>
      <c r="JN28" s="873">
        <v>-1.1059603792427604</v>
      </c>
      <c r="JO28" s="875"/>
      <c r="JP28" s="25"/>
      <c r="JS28" s="1"/>
      <c r="KG28" s="1"/>
      <c r="KH28" s="69"/>
    </row>
    <row r="29" spans="3:294" x14ac:dyDescent="0.3">
      <c r="G29" s="49"/>
      <c r="I29" s="49"/>
      <c r="M29" s="14"/>
      <c r="O29" s="14"/>
      <c r="P29" s="14"/>
      <c r="S29" s="49"/>
      <c r="U29" s="49"/>
      <c r="V29" s="743"/>
      <c r="W29" s="744"/>
      <c r="X29" s="744"/>
      <c r="Y29" s="946">
        <f>Y28-SUM(D4:D9)</f>
        <v>0</v>
      </c>
      <c r="Z29" s="745"/>
      <c r="AA29" s="49"/>
      <c r="AC29" s="49"/>
      <c r="AH29" s="49"/>
      <c r="AJ29" s="49"/>
      <c r="AK29" s="49"/>
      <c r="AL29" s="49"/>
      <c r="AM29" s="49"/>
      <c r="AQ29" s="800"/>
      <c r="AR29" s="800"/>
      <c r="AS29" s="744"/>
      <c r="AT29" s="744"/>
      <c r="AU29" s="744"/>
      <c r="AV29" s="744"/>
      <c r="AW29" s="801"/>
      <c r="AX29" s="744"/>
      <c r="AY29" s="744"/>
      <c r="AZ29" s="49"/>
      <c r="BA29" s="49"/>
      <c r="BB29" s="49"/>
      <c r="BD29" s="49"/>
      <c r="BE29" s="49"/>
      <c r="BF29" s="49"/>
      <c r="BG29" s="49"/>
      <c r="BH29" s="49"/>
      <c r="BI29" s="49"/>
      <c r="BK29" s="49"/>
      <c r="BU29" s="49"/>
      <c r="BW29" s="42"/>
      <c r="BX29" s="10"/>
      <c r="BY29" s="10"/>
      <c r="BZ29" s="10"/>
      <c r="CA29" s="10"/>
      <c r="CB29" s="10"/>
      <c r="CC29" s="10"/>
      <c r="CD29" s="10"/>
      <c r="CE29" s="10"/>
      <c r="CF29" s="49"/>
      <c r="CH29" s="1"/>
      <c r="CI29" s="25"/>
      <c r="CM29" s="4"/>
      <c r="CO29" s="4"/>
      <c r="CP29" s="4"/>
      <c r="CS29" s="1"/>
      <c r="CU29" s="49"/>
      <c r="DE29" s="42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V29" s="49"/>
      <c r="DW29" s="78"/>
      <c r="DX29" s="49"/>
      <c r="DY29" s="49"/>
      <c r="DZ29" s="49"/>
      <c r="EA29" s="49"/>
      <c r="EB29" s="49"/>
      <c r="EC29" s="49"/>
      <c r="EE29" s="49"/>
      <c r="EK29" s="49"/>
      <c r="EM29" s="49"/>
      <c r="EN29" s="49"/>
      <c r="EO29" s="49"/>
      <c r="EP29" s="49"/>
      <c r="EQ29" s="49"/>
      <c r="ER29" s="49"/>
      <c r="ES29" s="49"/>
      <c r="ET29" s="49"/>
      <c r="EU29" s="49"/>
      <c r="EV29" s="83"/>
      <c r="EW29" s="49"/>
      <c r="EX29" s="49"/>
      <c r="EY29" s="49"/>
      <c r="EZ29" s="49"/>
      <c r="FB29" s="49"/>
      <c r="FF29" s="49"/>
      <c r="FH29" s="49"/>
      <c r="FI29" s="49"/>
      <c r="FJ29" s="49"/>
      <c r="FK29" s="49"/>
      <c r="FL29" s="49"/>
      <c r="FM29" s="49"/>
      <c r="FN29" s="49"/>
      <c r="FO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716"/>
      <c r="HC29" s="941">
        <f>HC28-D13</f>
        <v>1466.7186395674944</v>
      </c>
      <c r="HE29" s="11"/>
      <c r="HH29" s="54"/>
      <c r="HI29" s="54"/>
      <c r="HJ29" s="54"/>
      <c r="HK29" s="54"/>
      <c r="HL29" s="54"/>
      <c r="HM29" s="11"/>
      <c r="HN29" s="11"/>
      <c r="HZ29" s="49"/>
      <c r="IB29" s="49"/>
      <c r="IP29" s="78"/>
      <c r="IQ29" s="49"/>
    </row>
    <row r="30" spans="3:294" x14ac:dyDescent="0.3">
      <c r="G30" s="49"/>
      <c r="I30" s="49"/>
      <c r="J30" s="846"/>
      <c r="K30" s="846"/>
      <c r="L30" s="846" t="s">
        <v>432</v>
      </c>
      <c r="M30" s="856">
        <v>3</v>
      </c>
      <c r="N30" s="856"/>
      <c r="O30" s="856"/>
      <c r="P30" s="856"/>
      <c r="Q30" s="856"/>
      <c r="R30" s="856">
        <v>4</v>
      </c>
      <c r="S30" s="49"/>
      <c r="U30" s="49"/>
      <c r="V30" s="892"/>
      <c r="W30" s="892"/>
      <c r="X30" s="892" t="s">
        <v>438</v>
      </c>
      <c r="Y30" s="856">
        <v>2</v>
      </c>
      <c r="Z30" s="856">
        <f>Y30+1</f>
        <v>3</v>
      </c>
      <c r="AA30" s="49"/>
      <c r="AC30" s="49"/>
      <c r="AH30" s="49"/>
      <c r="AJ30" s="49"/>
      <c r="AK30" s="49"/>
      <c r="AL30" s="49"/>
      <c r="AM30" s="49"/>
      <c r="AQ30" s="802" t="s">
        <v>432</v>
      </c>
      <c r="AR30" s="803"/>
      <c r="AS30" s="802"/>
      <c r="AT30" s="802">
        <v>3</v>
      </c>
      <c r="AU30" s="802">
        <v>3</v>
      </c>
      <c r="AV30" s="802"/>
      <c r="AW30" s="802"/>
      <c r="AX30" s="802"/>
      <c r="AY30" s="802"/>
      <c r="AZ30" s="84"/>
      <c r="BA30" s="84">
        <v>4</v>
      </c>
      <c r="BB30" s="49"/>
      <c r="BD30" s="49"/>
      <c r="BE30" s="49"/>
      <c r="BF30" s="49"/>
      <c r="BG30" s="49"/>
      <c r="BH30" s="49"/>
      <c r="BI30" s="49"/>
      <c r="BK30" s="49"/>
      <c r="BL30" s="849"/>
      <c r="BM30" s="849"/>
      <c r="BN30" s="849" t="s">
        <v>432</v>
      </c>
      <c r="BO30" s="849">
        <v>9</v>
      </c>
      <c r="BP30" s="849"/>
      <c r="BQ30" s="849">
        <v>4</v>
      </c>
      <c r="BR30" s="849"/>
      <c r="BS30" s="849"/>
      <c r="BT30" s="849">
        <v>4</v>
      </c>
      <c r="BU30" s="49"/>
      <c r="BW30" s="42"/>
      <c r="BX30" s="10"/>
      <c r="BY30" s="10"/>
      <c r="BZ30" s="10"/>
      <c r="CA30" s="10"/>
      <c r="CB30" s="10"/>
      <c r="CC30" s="10"/>
      <c r="CD30" s="10"/>
      <c r="CE30" s="10"/>
      <c r="CF30" s="49"/>
      <c r="CH30" s="49"/>
      <c r="CK30" s="844" t="s">
        <v>434</v>
      </c>
      <c r="CM30" s="4"/>
      <c r="CO30" s="4"/>
      <c r="CP30" s="4"/>
      <c r="CS30" s="49"/>
      <c r="CU30" s="49"/>
      <c r="DE30" s="42"/>
      <c r="DG30" s="49"/>
      <c r="DH30" s="49"/>
      <c r="DI30" s="49"/>
      <c r="DJ30" s="844" t="s">
        <v>435</v>
      </c>
      <c r="DK30" s="85"/>
      <c r="DL30" s="85"/>
      <c r="DM30" s="85"/>
      <c r="DN30" s="85"/>
      <c r="DO30" s="85"/>
      <c r="DP30" s="85"/>
      <c r="DQ30" s="85"/>
      <c r="DR30" s="85"/>
      <c r="DS30" s="85"/>
      <c r="DV30" s="49"/>
      <c r="DW30" s="49"/>
      <c r="DX30" s="49"/>
      <c r="DY30" s="844" t="s">
        <v>443</v>
      </c>
      <c r="DZ30" s="85"/>
      <c r="EA30" s="85"/>
      <c r="EB30" s="85"/>
      <c r="EE30" s="49"/>
      <c r="EK30" s="49"/>
      <c r="EM30" s="49"/>
      <c r="EN30" s="49"/>
      <c r="EO30" s="49"/>
      <c r="EP30" s="844" t="s">
        <v>436</v>
      </c>
      <c r="EQ30" s="3"/>
      <c r="ER30" s="3"/>
      <c r="ES30" s="3"/>
      <c r="ET30" s="3"/>
      <c r="EU30" s="3"/>
      <c r="EV30" s="3"/>
      <c r="EW30" s="3"/>
      <c r="EX30" s="3"/>
      <c r="EY30" s="3"/>
      <c r="EZ30" s="49"/>
      <c r="FB30" s="49"/>
      <c r="FF30" s="49"/>
      <c r="FH30" s="49"/>
      <c r="FI30" s="849"/>
      <c r="FJ30" s="893" t="s">
        <v>432</v>
      </c>
      <c r="FK30" s="894"/>
      <c r="FL30" s="847"/>
      <c r="FM30" s="847"/>
      <c r="FN30" s="847">
        <v>4</v>
      </c>
      <c r="FO30" s="49"/>
      <c r="FR30" s="846"/>
      <c r="FS30" s="846"/>
      <c r="FT30" s="846" t="s">
        <v>432</v>
      </c>
      <c r="FU30" s="846">
        <v>8</v>
      </c>
      <c r="FV30" s="846">
        <v>7</v>
      </c>
      <c r="FW30" s="846">
        <v>7</v>
      </c>
      <c r="FX30" s="846">
        <v>9</v>
      </c>
      <c r="FY30" s="846">
        <v>4</v>
      </c>
      <c r="FZ30" s="846"/>
      <c r="GA30" s="846">
        <v>4</v>
      </c>
      <c r="GB30" s="846"/>
      <c r="GC30" s="846">
        <v>4</v>
      </c>
      <c r="GG30" s="846"/>
      <c r="GH30" s="846"/>
      <c r="GI30" s="846" t="s">
        <v>432</v>
      </c>
      <c r="GJ30" s="846">
        <v>10</v>
      </c>
      <c r="GK30" s="846">
        <v>8</v>
      </c>
      <c r="GL30" s="846">
        <v>9</v>
      </c>
      <c r="GM30" s="846">
        <v>11</v>
      </c>
      <c r="GN30" s="846">
        <v>5</v>
      </c>
      <c r="GO30" s="846">
        <v>11</v>
      </c>
      <c r="GP30" s="846">
        <v>5</v>
      </c>
      <c r="GQ30" s="846">
        <v>11</v>
      </c>
      <c r="GR30" s="846">
        <v>3</v>
      </c>
      <c r="GS30" s="716"/>
      <c r="HA30" s="716" t="s">
        <v>439</v>
      </c>
      <c r="HB30" s="860"/>
      <c r="HC30" s="860">
        <f>31.49*100</f>
        <v>3149</v>
      </c>
      <c r="HE30" s="11"/>
      <c r="HH30" s="54"/>
      <c r="HI30" s="54"/>
      <c r="HJ30" s="54"/>
      <c r="HK30" s="54"/>
      <c r="HL30" s="54"/>
      <c r="HM30" s="11"/>
      <c r="HN30" s="11"/>
      <c r="HQ30" s="846" t="s">
        <v>437</v>
      </c>
      <c r="HR30" s="846"/>
      <c r="HS30" s="846"/>
      <c r="HT30" s="846">
        <v>3</v>
      </c>
      <c r="HU30" s="846"/>
      <c r="HV30" s="846">
        <v>11</v>
      </c>
      <c r="HW30" s="846"/>
      <c r="HX30" s="846"/>
      <c r="HY30" s="846">
        <v>6</v>
      </c>
      <c r="HZ30" s="49"/>
      <c r="IB30" s="49"/>
      <c r="IP30" s="49"/>
      <c r="IQ30" s="49"/>
      <c r="JG30" s="846" t="s">
        <v>437</v>
      </c>
      <c r="JH30" s="846"/>
      <c r="JI30" s="846"/>
      <c r="JJ30" s="846">
        <v>3</v>
      </c>
      <c r="JK30" s="846"/>
      <c r="JL30" s="846">
        <v>5</v>
      </c>
      <c r="JM30" s="846"/>
      <c r="JN30" s="846"/>
      <c r="JO30" s="846">
        <v>6</v>
      </c>
    </row>
    <row r="31" spans="3:294" x14ac:dyDescent="0.3">
      <c r="I31" s="49"/>
      <c r="U31" s="49"/>
      <c r="V31" s="518"/>
      <c r="W31" s="518"/>
      <c r="X31" s="518"/>
      <c r="Y31" s="518"/>
      <c r="Z31" s="518"/>
      <c r="AC31" s="49"/>
      <c r="AJ31" s="49"/>
      <c r="AK31" s="49"/>
      <c r="AL31" s="49"/>
      <c r="AM31" s="49"/>
      <c r="AP31" s="87"/>
      <c r="AQ31" s="803" t="s">
        <v>438</v>
      </c>
      <c r="AR31" s="803"/>
      <c r="AS31" s="803">
        <v>2</v>
      </c>
      <c r="AT31" s="803">
        <f>+AS31+1</f>
        <v>3</v>
      </c>
      <c r="AU31" s="803">
        <f t="shared" ref="AU31:AY31" si="126">+AT31+1</f>
        <v>4</v>
      </c>
      <c r="AV31" s="803">
        <f t="shared" si="126"/>
        <v>5</v>
      </c>
      <c r="AW31" s="803">
        <f t="shared" si="126"/>
        <v>6</v>
      </c>
      <c r="AX31" s="803">
        <f t="shared" si="126"/>
        <v>7</v>
      </c>
      <c r="AY31" s="803">
        <f t="shared" si="126"/>
        <v>8</v>
      </c>
      <c r="AZ31" s="86"/>
      <c r="BA31" s="86">
        <f>+AY31+1</f>
        <v>9</v>
      </c>
      <c r="BD31" s="49"/>
      <c r="BE31" s="49"/>
      <c r="BF31" s="49"/>
      <c r="BG31" s="49"/>
      <c r="BH31" s="49"/>
      <c r="BK31" s="49"/>
      <c r="BW31" s="42"/>
      <c r="BX31" s="10"/>
      <c r="BY31" s="10"/>
      <c r="BZ31" s="10"/>
      <c r="CA31" s="10"/>
      <c r="CB31" s="10"/>
      <c r="CC31" s="10"/>
      <c r="CD31" s="10"/>
      <c r="CE31" s="10"/>
      <c r="CH31" s="49"/>
      <c r="CI31" s="849"/>
      <c r="CJ31" s="849" t="s">
        <v>432</v>
      </c>
      <c r="CK31" s="849"/>
      <c r="CL31" s="849">
        <v>4</v>
      </c>
      <c r="CM31" s="849"/>
      <c r="CN31" s="849">
        <v>7</v>
      </c>
      <c r="CO31" s="849"/>
      <c r="CP31" s="849"/>
      <c r="CQ31" s="849"/>
      <c r="CR31" s="849">
        <v>4</v>
      </c>
      <c r="CS31" s="49"/>
      <c r="CU31" s="49"/>
      <c r="DE31" s="10"/>
      <c r="DG31" s="49"/>
      <c r="DH31" s="849"/>
      <c r="DI31" s="849"/>
      <c r="DJ31" s="849" t="s">
        <v>432</v>
      </c>
      <c r="DK31" s="849">
        <v>8</v>
      </c>
      <c r="DL31" s="849"/>
      <c r="DM31" s="849">
        <v>7</v>
      </c>
      <c r="DN31" s="849"/>
      <c r="DO31" s="849">
        <v>4</v>
      </c>
      <c r="DP31" s="849"/>
      <c r="DQ31" s="849"/>
      <c r="DR31" s="849"/>
      <c r="DS31" s="849">
        <v>4</v>
      </c>
      <c r="DV31" s="49"/>
      <c r="DY31" s="844" t="s">
        <v>444</v>
      </c>
      <c r="EE31" s="49"/>
      <c r="EM31" s="49"/>
      <c r="EN31" s="849"/>
      <c r="EO31" s="849"/>
      <c r="EP31" s="849" t="s">
        <v>432</v>
      </c>
      <c r="EQ31" s="847">
        <v>4</v>
      </c>
      <c r="ER31" s="847"/>
      <c r="ES31" s="847">
        <v>8</v>
      </c>
      <c r="ET31" s="847"/>
      <c r="EU31" s="847">
        <v>4</v>
      </c>
      <c r="EV31" s="850"/>
      <c r="EW31" s="847"/>
      <c r="EX31" s="847"/>
      <c r="EY31" s="847">
        <v>4</v>
      </c>
      <c r="FB31" s="49"/>
      <c r="FH31" s="49"/>
      <c r="FI31" s="849"/>
      <c r="FJ31" s="893" t="s">
        <v>438</v>
      </c>
      <c r="FK31" s="894"/>
      <c r="FL31" s="847"/>
      <c r="FM31" s="847">
        <f>Z30+1</f>
        <v>4</v>
      </c>
      <c r="FN31" s="847">
        <f t="shared" ref="FN31" si="127">FM31+1</f>
        <v>5</v>
      </c>
      <c r="FR31" s="846"/>
      <c r="FS31" s="846"/>
      <c r="FT31" s="846" t="s">
        <v>438</v>
      </c>
      <c r="FU31" s="846">
        <v>1</v>
      </c>
      <c r="FV31" s="846">
        <f t="shared" ref="FV31:GC31" si="128">+FU31+1</f>
        <v>2</v>
      </c>
      <c r="FW31" s="846">
        <f t="shared" si="128"/>
        <v>3</v>
      </c>
      <c r="FX31" s="846">
        <f t="shared" si="128"/>
        <v>4</v>
      </c>
      <c r="FY31" s="846">
        <f t="shared" si="128"/>
        <v>5</v>
      </c>
      <c r="FZ31" s="846">
        <v>9</v>
      </c>
      <c r="GA31" s="846">
        <f t="shared" si="128"/>
        <v>10</v>
      </c>
      <c r="GB31" s="846">
        <f t="shared" si="128"/>
        <v>11</v>
      </c>
      <c r="GC31" s="846">
        <f t="shared" si="128"/>
        <v>12</v>
      </c>
      <c r="GG31" s="846"/>
      <c r="GH31" s="846"/>
      <c r="GI31" s="846" t="s">
        <v>438</v>
      </c>
      <c r="GJ31" s="846">
        <v>3</v>
      </c>
      <c r="GK31" s="846">
        <f t="shared" ref="GK31:GR31" si="129">+GJ31+1</f>
        <v>4</v>
      </c>
      <c r="GL31" s="846">
        <f t="shared" si="129"/>
        <v>5</v>
      </c>
      <c r="GM31" s="846">
        <f t="shared" si="129"/>
        <v>6</v>
      </c>
      <c r="GN31" s="846">
        <f t="shared" si="129"/>
        <v>7</v>
      </c>
      <c r="GO31" s="846">
        <f t="shared" si="129"/>
        <v>8</v>
      </c>
      <c r="GP31" s="846">
        <f t="shared" si="129"/>
        <v>9</v>
      </c>
      <c r="GQ31" s="846">
        <f t="shared" si="129"/>
        <v>10</v>
      </c>
      <c r="GR31" s="846">
        <f t="shared" si="129"/>
        <v>11</v>
      </c>
      <c r="GS31" s="716"/>
      <c r="GV31" s="846"/>
      <c r="GW31" s="846"/>
      <c r="GX31" s="846" t="s">
        <v>437</v>
      </c>
      <c r="GY31" s="856">
        <v>4</v>
      </c>
      <c r="GZ31" s="856">
        <v>10</v>
      </c>
      <c r="HA31" s="856">
        <v>11</v>
      </c>
      <c r="HB31" s="856"/>
      <c r="HC31" s="856"/>
      <c r="HD31" s="856"/>
      <c r="HE31" s="61"/>
      <c r="HH31" s="61"/>
      <c r="HI31" s="61"/>
      <c r="HJ31" s="61"/>
      <c r="HK31" s="61"/>
      <c r="HL31" s="61"/>
      <c r="HM31" s="61"/>
      <c r="HN31" s="61"/>
      <c r="IB31" s="49"/>
      <c r="IQ31" s="49"/>
      <c r="JJ31" s="716"/>
      <c r="JK31" s="358"/>
      <c r="JL31" s="358"/>
      <c r="JM31" s="716"/>
      <c r="JN31" s="716"/>
    </row>
    <row r="32" spans="3:294" x14ac:dyDescent="0.3">
      <c r="I32" s="49"/>
      <c r="U32" s="49"/>
      <c r="AC32" s="49"/>
      <c r="AJ32" s="49"/>
      <c r="AK32" s="49"/>
      <c r="AL32" s="49"/>
      <c r="AM32" s="49"/>
      <c r="BD32" s="49"/>
      <c r="BE32" s="49"/>
      <c r="BF32" s="49"/>
      <c r="BG32" s="49"/>
      <c r="BH32" s="49"/>
      <c r="BK32" s="49"/>
      <c r="BW32" s="42"/>
      <c r="BX32" s="10"/>
      <c r="BY32" s="10"/>
      <c r="BZ32" s="10"/>
      <c r="CA32" s="10"/>
      <c r="CB32" s="10"/>
      <c r="CC32" s="10"/>
      <c r="CD32" s="10"/>
      <c r="CE32" s="10"/>
      <c r="CH32" s="49"/>
      <c r="CU32" s="49"/>
      <c r="DE32" s="10"/>
      <c r="DG32" s="49"/>
      <c r="DV32" s="49"/>
      <c r="DW32" s="849"/>
      <c r="DX32" s="849"/>
      <c r="DY32" s="849" t="s">
        <v>432</v>
      </c>
      <c r="DZ32" s="849">
        <v>7</v>
      </c>
      <c r="EA32" s="849"/>
      <c r="EB32" s="849">
        <v>4</v>
      </c>
      <c r="EE32" s="49"/>
      <c r="EM32" s="49"/>
      <c r="EN32" s="845"/>
      <c r="EO32" s="845"/>
      <c r="EP32" s="845"/>
      <c r="EQ32" s="845"/>
      <c r="ER32" s="845"/>
      <c r="ES32" s="845"/>
      <c r="ET32" s="845"/>
      <c r="EU32" s="845"/>
      <c r="EV32" s="848"/>
      <c r="EW32" s="845"/>
      <c r="EX32" s="845"/>
      <c r="EY32" s="845"/>
      <c r="FB32" s="49"/>
      <c r="FH32" s="49"/>
      <c r="FI32" s="716"/>
      <c r="FJ32" s="716"/>
      <c r="FK32" s="716"/>
      <c r="FL32" s="716"/>
      <c r="FM32" s="716"/>
      <c r="FN32" s="716"/>
      <c r="FR32" s="716"/>
      <c r="FS32" s="716"/>
      <c r="FT32" s="716"/>
      <c r="FU32" s="716"/>
      <c r="FV32" s="716"/>
      <c r="FW32" s="716"/>
      <c r="FX32" s="716"/>
      <c r="FY32" s="716"/>
      <c r="FZ32" s="716"/>
      <c r="GA32" s="716"/>
      <c r="GB32" s="716"/>
      <c r="GC32" s="716"/>
      <c r="GS32" s="716"/>
      <c r="GV32" s="846"/>
      <c r="GW32" s="846"/>
      <c r="GX32" s="846" t="s">
        <v>433</v>
      </c>
      <c r="GY32" s="856">
        <v>2</v>
      </c>
      <c r="GZ32" s="856">
        <f>GY32+1</f>
        <v>3</v>
      </c>
      <c r="HA32" s="856">
        <f t="shared" ref="HA32:HD32" si="130">GZ32+1</f>
        <v>4</v>
      </c>
      <c r="HB32" s="856">
        <f t="shared" si="130"/>
        <v>5</v>
      </c>
      <c r="HC32" s="856">
        <f t="shared" si="130"/>
        <v>6</v>
      </c>
      <c r="HD32" s="856">
        <f t="shared" si="130"/>
        <v>7</v>
      </c>
      <c r="HU32" s="866"/>
      <c r="HV32" s="866"/>
      <c r="IB32" s="49"/>
      <c r="IQ32" s="49"/>
      <c r="JJ32" s="716"/>
      <c r="JK32" s="891"/>
      <c r="JL32" s="891"/>
      <c r="JM32" s="716"/>
      <c r="JN32" s="716"/>
    </row>
    <row r="33" spans="9:274" x14ac:dyDescent="0.3">
      <c r="I33" s="49"/>
      <c r="U33" s="49"/>
      <c r="AC33" s="49"/>
      <c r="AJ33" s="49"/>
      <c r="AK33" s="49"/>
      <c r="AL33" s="49"/>
      <c r="AM33" s="49"/>
      <c r="BD33" s="49"/>
      <c r="BE33" s="49"/>
      <c r="BF33" s="49"/>
      <c r="BG33" s="49"/>
      <c r="BH33" s="49"/>
      <c r="BK33" s="49"/>
      <c r="BW33" s="42"/>
      <c r="BX33" s="10"/>
      <c r="BY33" s="10"/>
      <c r="BZ33" s="10"/>
      <c r="CA33" s="10"/>
      <c r="CB33" s="10"/>
      <c r="CC33" s="10"/>
      <c r="CD33" s="10"/>
      <c r="CE33" s="10"/>
      <c r="CH33" s="49"/>
      <c r="CU33" s="49"/>
      <c r="DE33" s="10"/>
      <c r="DG33" s="49"/>
      <c r="DV33" s="49"/>
      <c r="EE33" s="49"/>
      <c r="EM33" s="49"/>
      <c r="FB33" s="49"/>
      <c r="FH33" s="49"/>
      <c r="GS33" s="716"/>
      <c r="GW33" s="716"/>
      <c r="GX33" s="716"/>
      <c r="GY33" s="716"/>
      <c r="GZ33" s="716"/>
      <c r="HA33" s="716"/>
      <c r="HB33" s="716"/>
      <c r="HC33" s="716"/>
      <c r="HD33" s="716"/>
      <c r="IB33" s="49"/>
      <c r="IQ33" s="49"/>
      <c r="JJ33" s="716"/>
      <c r="JK33" s="716"/>
      <c r="JL33" s="716"/>
      <c r="JM33" s="716"/>
      <c r="JN33" s="716"/>
    </row>
    <row r="34" spans="9:274" x14ac:dyDescent="0.3">
      <c r="I34" s="49"/>
      <c r="U34" s="49"/>
      <c r="AC34" s="49"/>
      <c r="AJ34" s="49"/>
      <c r="AK34" s="49"/>
      <c r="AL34" s="49"/>
      <c r="AM34" s="49"/>
      <c r="BD34" s="49"/>
      <c r="BE34" s="49"/>
      <c r="BF34" s="49"/>
      <c r="BG34" s="49"/>
      <c r="BH34" s="49"/>
      <c r="BK34" s="49"/>
      <c r="BW34" s="42"/>
      <c r="BX34" s="10"/>
      <c r="BY34" s="10"/>
      <c r="BZ34" s="10"/>
      <c r="CA34" s="10"/>
      <c r="CB34" s="10"/>
      <c r="CC34" s="10"/>
      <c r="CD34" s="10"/>
      <c r="CE34" s="10"/>
      <c r="CH34" s="49"/>
      <c r="CU34" s="49"/>
      <c r="DE34" s="10"/>
      <c r="DG34" s="49"/>
      <c r="DV34" s="49"/>
      <c r="EE34" s="49"/>
      <c r="EM34" s="49"/>
      <c r="EN34" s="716"/>
      <c r="EO34" s="716"/>
      <c r="EP34" s="716"/>
      <c r="EQ34" s="716"/>
      <c r="ER34" s="716"/>
      <c r="ES34" s="716"/>
      <c r="ET34" s="716"/>
      <c r="EU34" s="716"/>
      <c r="EV34" s="716"/>
      <c r="EW34" s="716"/>
      <c r="EX34" s="716"/>
      <c r="EY34" s="716"/>
      <c r="FB34" s="49"/>
      <c r="FH34" s="49"/>
      <c r="GH34" s="716"/>
      <c r="GI34" s="716"/>
      <c r="GJ34" s="716"/>
      <c r="GK34" s="716"/>
      <c r="GL34" s="716"/>
      <c r="GM34" s="716"/>
      <c r="GN34" s="716"/>
      <c r="GO34" s="716"/>
      <c r="GP34" s="716"/>
      <c r="GQ34" s="716"/>
      <c r="GR34" s="716"/>
      <c r="GS34" s="716"/>
      <c r="HE34" s="12"/>
      <c r="HH34" s="12"/>
      <c r="HI34" s="12"/>
      <c r="HJ34" s="12"/>
      <c r="HK34" s="12"/>
      <c r="HL34" s="12"/>
      <c r="HM34" s="12"/>
      <c r="HN34" s="12"/>
      <c r="HV34" s="35"/>
      <c r="IB34" s="49"/>
      <c r="IQ34" s="49"/>
    </row>
    <row r="35" spans="9:274" x14ac:dyDescent="0.3">
      <c r="I35" s="49"/>
      <c r="M35" s="12"/>
      <c r="N35" s="12"/>
      <c r="O35" s="12"/>
      <c r="P35" s="12"/>
      <c r="Q35" s="12"/>
      <c r="R35" s="12"/>
      <c r="U35" s="49"/>
      <c r="AC35" s="49"/>
      <c r="AJ35" s="49"/>
      <c r="AK35" s="49"/>
      <c r="AL35" s="49"/>
      <c r="AM35" s="49"/>
      <c r="BD35" s="49"/>
      <c r="BK35" s="49"/>
      <c r="BW35" s="42"/>
      <c r="BX35" s="10"/>
      <c r="BY35" s="10"/>
      <c r="BZ35" s="10"/>
      <c r="CA35" s="10"/>
      <c r="CB35" s="10"/>
      <c r="CC35" s="10"/>
      <c r="CD35" s="10"/>
      <c r="CE35" s="10"/>
      <c r="CH35" s="49"/>
      <c r="CU35" s="49"/>
      <c r="DE35" s="10"/>
      <c r="EE35" s="49"/>
      <c r="EM35" s="49"/>
      <c r="EN35" s="716"/>
      <c r="EO35" s="716"/>
      <c r="EP35" s="716"/>
      <c r="EQ35" s="716"/>
      <c r="ER35" s="716"/>
      <c r="ES35" s="716"/>
      <c r="ET35" s="716"/>
      <c r="EU35" s="716"/>
      <c r="EV35" s="716"/>
      <c r="EW35" s="716"/>
      <c r="EX35" s="716"/>
      <c r="EY35" s="716"/>
      <c r="FB35" s="49"/>
      <c r="FN35" s="716"/>
      <c r="FR35" s="716"/>
      <c r="FS35" s="716"/>
      <c r="FT35" s="716"/>
      <c r="FU35" s="716"/>
      <c r="FV35" s="716"/>
      <c r="FW35" s="716"/>
      <c r="FX35" s="716"/>
      <c r="FY35" s="716"/>
      <c r="FZ35" s="716"/>
      <c r="GA35" s="716"/>
      <c r="GB35" s="716"/>
      <c r="GC35" s="716"/>
      <c r="GH35" s="716"/>
      <c r="GI35" s="716"/>
      <c r="GJ35" s="716"/>
      <c r="GK35" s="716"/>
      <c r="GL35" s="716"/>
      <c r="GM35" s="716"/>
      <c r="GN35" s="716"/>
      <c r="GO35" s="716"/>
      <c r="GP35" s="716"/>
      <c r="GQ35" s="716"/>
      <c r="GR35" s="716"/>
      <c r="GS35" s="716"/>
      <c r="HE35" s="12"/>
      <c r="HH35" s="12"/>
      <c r="HI35" s="12"/>
      <c r="HJ35" s="12"/>
      <c r="HK35" s="12"/>
      <c r="HL35" s="12"/>
      <c r="HM35" s="12"/>
      <c r="HN35" s="12"/>
      <c r="HV35" s="14"/>
      <c r="IB35" s="49"/>
      <c r="IQ35" s="49"/>
    </row>
    <row r="36" spans="9:274" x14ac:dyDescent="0.3">
      <c r="M36" s="12"/>
      <c r="N36" s="12"/>
      <c r="O36" s="12"/>
      <c r="P36" s="12"/>
      <c r="Q36" s="12"/>
      <c r="R36" s="12"/>
      <c r="AN36" s="87"/>
      <c r="BW36" s="10"/>
      <c r="BX36" s="10"/>
      <c r="BY36" s="10"/>
      <c r="BZ36" s="10"/>
      <c r="CA36" s="10"/>
      <c r="CB36" s="10"/>
      <c r="CC36" s="10"/>
      <c r="CD36" s="10"/>
      <c r="CE36" s="10"/>
      <c r="CH36" s="49"/>
      <c r="DE36" s="10"/>
      <c r="EN36" s="716"/>
      <c r="EO36" s="716"/>
      <c r="EP36" s="716"/>
      <c r="EQ36" s="716"/>
      <c r="ER36" s="716"/>
      <c r="ES36" s="716"/>
      <c r="ET36" s="716"/>
      <c r="EU36" s="716"/>
      <c r="EV36" s="716"/>
      <c r="EW36" s="716"/>
      <c r="EX36" s="716"/>
      <c r="EY36" s="716"/>
      <c r="FR36" s="716"/>
      <c r="FS36" s="716"/>
      <c r="FT36" s="716"/>
      <c r="FU36" s="716"/>
      <c r="FV36" s="716"/>
      <c r="FW36" s="716"/>
      <c r="FX36" s="716"/>
      <c r="FY36" s="716"/>
      <c r="FZ36" s="716"/>
      <c r="GA36" s="716"/>
      <c r="GB36" s="716"/>
      <c r="GC36" s="716"/>
      <c r="GH36" s="716"/>
      <c r="GI36" s="716"/>
      <c r="GJ36" s="716"/>
      <c r="GK36" s="716"/>
      <c r="GL36" s="716"/>
      <c r="GM36" s="716"/>
      <c r="GN36" s="716"/>
      <c r="GO36" s="716"/>
      <c r="GP36" s="716"/>
      <c r="GQ36" s="716"/>
      <c r="GR36" s="716"/>
      <c r="GS36" s="716"/>
      <c r="GW36" s="716"/>
      <c r="GX36" s="716"/>
      <c r="GY36" s="716"/>
      <c r="GZ36" s="716"/>
      <c r="HA36" s="716"/>
      <c r="HB36" s="716"/>
      <c r="HC36" s="716"/>
      <c r="HD36" s="716"/>
    </row>
    <row r="37" spans="9:274" x14ac:dyDescent="0.3">
      <c r="BW37" s="10"/>
      <c r="BX37" s="10"/>
      <c r="BY37" s="10"/>
      <c r="BZ37" s="10"/>
      <c r="CA37" s="10"/>
      <c r="CB37" s="10"/>
      <c r="CC37" s="10"/>
      <c r="CD37" s="10"/>
      <c r="CE37" s="10"/>
      <c r="DE37" s="10"/>
      <c r="GH37" s="716"/>
      <c r="GI37" s="716"/>
      <c r="GJ37" s="716"/>
      <c r="GK37" s="716"/>
      <c r="GL37" s="716"/>
      <c r="GM37" s="716"/>
      <c r="GN37" s="716"/>
      <c r="GO37" s="716"/>
      <c r="GP37" s="716"/>
      <c r="GQ37" s="716"/>
      <c r="GR37" s="716"/>
      <c r="GS37" s="716"/>
      <c r="GW37" s="716"/>
      <c r="GX37" s="716"/>
      <c r="GY37" s="716"/>
      <c r="GZ37" s="716"/>
      <c r="HA37" s="716"/>
      <c r="HB37" s="716"/>
      <c r="HC37" s="716"/>
      <c r="HD37" s="716"/>
    </row>
    <row r="38" spans="9:274" x14ac:dyDescent="0.3">
      <c r="BW38" s="10"/>
      <c r="BX38" s="10"/>
      <c r="BY38" s="10"/>
      <c r="BZ38" s="10"/>
      <c r="CA38" s="10"/>
      <c r="CB38" s="10"/>
      <c r="CC38" s="10"/>
      <c r="CD38" s="10"/>
      <c r="CE38" s="10"/>
      <c r="DE38" s="10"/>
      <c r="GH38" s="716"/>
      <c r="GI38" s="716"/>
      <c r="GJ38" s="716"/>
      <c r="GK38" s="716"/>
      <c r="GL38" s="716"/>
      <c r="GM38" s="716"/>
      <c r="GN38" s="716"/>
      <c r="GO38" s="716"/>
      <c r="GP38" s="716"/>
      <c r="GQ38" s="716"/>
      <c r="GR38" s="716"/>
      <c r="GS38" s="716"/>
      <c r="GW38" s="716"/>
      <c r="GX38" s="716"/>
      <c r="GY38" s="716"/>
      <c r="GZ38" s="716"/>
      <c r="HA38" s="716"/>
      <c r="HB38" s="716"/>
      <c r="HC38" s="716"/>
      <c r="HD38" s="716"/>
    </row>
    <row r="39" spans="9:274" x14ac:dyDescent="0.3">
      <c r="BW39" s="10"/>
      <c r="BX39" s="10"/>
      <c r="BY39" s="10"/>
      <c r="BZ39" s="10"/>
      <c r="CA39" s="10"/>
      <c r="CB39" s="10"/>
      <c r="CC39" s="10"/>
      <c r="CD39" s="10"/>
      <c r="CE39" s="10"/>
      <c r="DE39" s="10"/>
      <c r="GH39" s="716"/>
      <c r="GI39" s="716"/>
      <c r="GJ39" s="716"/>
      <c r="GK39" s="716"/>
      <c r="GL39" s="716"/>
      <c r="GM39" s="716"/>
      <c r="GN39" s="716"/>
      <c r="GO39" s="716"/>
      <c r="GP39" s="716"/>
      <c r="GQ39" s="716"/>
      <c r="GR39" s="716"/>
      <c r="GS39" s="716"/>
      <c r="GW39" s="716"/>
      <c r="GX39" s="716"/>
      <c r="GY39" s="716"/>
    </row>
    <row r="40" spans="9:274" x14ac:dyDescent="0.3">
      <c r="BW40" s="10"/>
      <c r="BX40" s="10"/>
      <c r="BY40" s="10"/>
      <c r="BZ40" s="10"/>
      <c r="CA40" s="10"/>
      <c r="CB40" s="10"/>
      <c r="CC40" s="10"/>
      <c r="CD40" s="10"/>
      <c r="CE40" s="10"/>
      <c r="DE40" s="10"/>
      <c r="HA40" s="860"/>
    </row>
    <row r="41" spans="9:274" x14ac:dyDescent="0.3">
      <c r="BW41" s="10"/>
      <c r="BX41" s="10"/>
      <c r="BY41" s="10"/>
      <c r="BZ41" s="10"/>
      <c r="CA41" s="10"/>
      <c r="CB41" s="10"/>
      <c r="CC41" s="10"/>
      <c r="CD41" s="10"/>
      <c r="CE41" s="10"/>
      <c r="DE41" s="10"/>
      <c r="HA41" s="860"/>
    </row>
    <row r="42" spans="9:274" x14ac:dyDescent="0.3">
      <c r="BW42" s="10"/>
      <c r="BX42" s="10"/>
      <c r="BY42" s="10"/>
      <c r="BZ42" s="10"/>
      <c r="CA42" s="10"/>
      <c r="CB42" s="10"/>
      <c r="CC42" s="10"/>
      <c r="CD42" s="10"/>
      <c r="CE42" s="10"/>
      <c r="DE42" s="10"/>
    </row>
    <row r="43" spans="9:274" x14ac:dyDescent="0.3">
      <c r="BW43" s="10"/>
      <c r="BX43" s="10"/>
      <c r="BY43" s="10"/>
      <c r="BZ43" s="10"/>
      <c r="CA43" s="10"/>
      <c r="CB43" s="10"/>
      <c r="CC43" s="10"/>
      <c r="CD43" s="10"/>
      <c r="CE43" s="10"/>
      <c r="DE43" s="10"/>
    </row>
    <row r="44" spans="9:274" x14ac:dyDescent="0.3">
      <c r="BW44" s="10"/>
      <c r="BX44" s="10"/>
      <c r="BY44" s="10"/>
      <c r="BZ44" s="10"/>
      <c r="CA44" s="10"/>
      <c r="CB44" s="10"/>
      <c r="CC44" s="10"/>
      <c r="CD44" s="10"/>
      <c r="CE44" s="10"/>
      <c r="DE44" s="10"/>
    </row>
    <row r="45" spans="9:274" x14ac:dyDescent="0.3">
      <c r="BW45" s="10"/>
      <c r="BX45" s="10"/>
      <c r="BY45" s="10"/>
      <c r="BZ45" s="10"/>
      <c r="CA45" s="10"/>
      <c r="CB45" s="10"/>
      <c r="CC45" s="10"/>
      <c r="CD45" s="10"/>
      <c r="CE45" s="10"/>
      <c r="DE45" s="10"/>
    </row>
    <row r="46" spans="9:274" x14ac:dyDescent="0.3">
      <c r="BW46" s="10"/>
      <c r="BX46" s="10"/>
      <c r="BY46" s="10"/>
      <c r="BZ46" s="10"/>
      <c r="CA46" s="10"/>
      <c r="CB46" s="10"/>
      <c r="CC46" s="10"/>
      <c r="CD46" s="10"/>
      <c r="CE46" s="10"/>
      <c r="DE46" s="10"/>
    </row>
    <row r="47" spans="9:274" x14ac:dyDescent="0.3">
      <c r="BW47" s="10"/>
      <c r="BX47" s="10"/>
      <c r="BY47" s="10"/>
      <c r="BZ47" s="10"/>
      <c r="CA47" s="10"/>
      <c r="CB47" s="10"/>
      <c r="CC47" s="10"/>
      <c r="CD47" s="10"/>
      <c r="CE47" s="10"/>
      <c r="DE47" s="10"/>
    </row>
    <row r="48" spans="9:274" x14ac:dyDescent="0.3">
      <c r="BW48" s="10"/>
      <c r="BX48" s="10"/>
      <c r="BY48" s="10"/>
      <c r="BZ48" s="10"/>
      <c r="CA48" s="10"/>
      <c r="CB48" s="10"/>
      <c r="CC48" s="10"/>
      <c r="CD48" s="10"/>
      <c r="CE48" s="10"/>
      <c r="DE48" s="10"/>
    </row>
    <row r="49" spans="75:109" x14ac:dyDescent="0.3">
      <c r="BW49" s="10"/>
      <c r="BX49" s="10"/>
      <c r="BY49" s="10"/>
      <c r="BZ49" s="10"/>
      <c r="CA49" s="10"/>
      <c r="CB49" s="10"/>
      <c r="CC49" s="10"/>
      <c r="CD49" s="10"/>
      <c r="CE49" s="10"/>
      <c r="DE49" s="10"/>
    </row>
    <row r="50" spans="75:109" x14ac:dyDescent="0.3">
      <c r="BW50" s="10"/>
      <c r="BX50" s="10"/>
      <c r="BY50" s="10"/>
      <c r="BZ50" s="10"/>
      <c r="CA50" s="10"/>
      <c r="CB50" s="10"/>
      <c r="CC50" s="10"/>
      <c r="CD50" s="10"/>
      <c r="CE50" s="10"/>
      <c r="DE50" s="10"/>
    </row>
  </sheetData>
  <mergeCells count="25">
    <mergeCell ref="JG1:JO1"/>
    <mergeCell ref="GG1:GR1"/>
    <mergeCell ref="GV1:HD1"/>
    <mergeCell ref="HH1:HM1"/>
    <mergeCell ref="HQ1:HY1"/>
    <mergeCell ref="IC1:IL1"/>
    <mergeCell ref="IP1:JC1"/>
    <mergeCell ref="DW1:EB1"/>
    <mergeCell ref="EF1:EJ1"/>
    <mergeCell ref="EN1:EY1"/>
    <mergeCell ref="FC1:FE1"/>
    <mergeCell ref="FI1:FN1"/>
    <mergeCell ref="FR1:GC1"/>
    <mergeCell ref="BE1:BH1"/>
    <mergeCell ref="BL1:BT1"/>
    <mergeCell ref="BX1:CE1"/>
    <mergeCell ref="CI1:CR1"/>
    <mergeCell ref="CV1:DD1"/>
    <mergeCell ref="DH1:DS1"/>
    <mergeCell ref="B1:F1"/>
    <mergeCell ref="J1:R1"/>
    <mergeCell ref="V1:Z1"/>
    <mergeCell ref="AD1:AG1"/>
    <mergeCell ref="AK1:AM1"/>
    <mergeCell ref="AQ1:BA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B8E54-9285-47E2-A86F-381C13B70597}">
  <sheetPr>
    <tabColor theme="8" tint="0.39997558519241921"/>
  </sheetPr>
  <dimension ref="A1:NW54"/>
  <sheetViews>
    <sheetView topLeftCell="MS21" zoomScale="90" zoomScaleNormal="90" workbookViewId="0">
      <selection activeCell="E18" sqref="E18"/>
    </sheetView>
  </sheetViews>
  <sheetFormatPr defaultRowHeight="16.5" x14ac:dyDescent="0.3"/>
  <cols>
    <col min="1" max="1" width="2.42578125" style="518" customWidth="1"/>
    <col min="2" max="2" width="4.140625" style="518" customWidth="1"/>
    <col min="3" max="4" width="2.42578125" style="518" customWidth="1"/>
    <col min="5" max="5" width="33.140625" style="518" customWidth="1"/>
    <col min="6" max="6" width="19" style="518" customWidth="1"/>
    <col min="7" max="7" width="12.140625" style="518" customWidth="1"/>
    <col min="8" max="8" width="17.85546875" style="518" customWidth="1"/>
    <col min="9" max="9" width="12" style="518" customWidth="1"/>
    <col min="10" max="11" width="17.28515625" style="518" customWidth="1"/>
    <col min="12" max="12" width="11.5703125" style="518" customWidth="1"/>
    <col min="13" max="13" width="16.7109375" style="518" customWidth="1"/>
    <col min="14" max="14" width="17.85546875" style="518" customWidth="1"/>
    <col min="15" max="15" width="12" style="518" customWidth="1"/>
    <col min="16" max="16" width="18.42578125" style="518" customWidth="1"/>
    <col min="17" max="18" width="17.28515625" style="518" customWidth="1"/>
    <col min="19" max="19" width="7" style="518" customWidth="1"/>
    <col min="20" max="20" width="7" style="102" customWidth="1"/>
    <col min="21" max="21" width="7" style="518" customWidth="1"/>
    <col min="22" max="22" width="4.5703125" style="518" customWidth="1"/>
    <col min="23" max="23" width="61.85546875" style="518" customWidth="1"/>
    <col min="24" max="27" width="14.85546875" style="518" customWidth="1"/>
    <col min="28" max="28" width="3" style="518" customWidth="1"/>
    <col min="29" max="29" width="5.85546875" style="518" customWidth="1"/>
    <col min="30" max="30" width="7" style="102" customWidth="1"/>
    <col min="31" max="31" width="6.28515625" style="518" customWidth="1"/>
    <col min="32" max="32" width="4.5703125" style="518" customWidth="1"/>
    <col min="33" max="33" width="27" style="518" customWidth="1"/>
    <col min="34" max="36" width="20.140625" style="518" customWidth="1"/>
    <col min="37" max="37" width="7" style="518" customWidth="1"/>
    <col min="38" max="38" width="4" style="102" customWidth="1"/>
    <col min="39" max="39" width="2.42578125" style="518" customWidth="1"/>
    <col min="40" max="40" width="4.140625" style="518" customWidth="1"/>
    <col min="41" max="42" width="2.42578125" style="518" customWidth="1"/>
    <col min="43" max="43" width="32.7109375" style="518" customWidth="1"/>
    <col min="44" max="44" width="7.5703125" style="518" customWidth="1"/>
    <col min="45" max="45" width="16.5703125" style="518" hidden="1" customWidth="1"/>
    <col min="46" max="46" width="17.140625" style="518" hidden="1" customWidth="1"/>
    <col min="47" max="47" width="2.42578125" style="518" hidden="1" customWidth="1"/>
    <col min="48" max="48" width="15.42578125" style="518" hidden="1" customWidth="1"/>
    <col min="49" max="49" width="16.7109375" style="518" hidden="1" customWidth="1"/>
    <col min="50" max="50" width="12.140625" style="518" hidden="1" customWidth="1"/>
    <col min="51" max="51" width="1.85546875" style="518" hidden="1" customWidth="1"/>
    <col min="52" max="52" width="15.42578125" style="518" hidden="1" customWidth="1"/>
    <col min="53" max="53" width="16.7109375" style="518" hidden="1" customWidth="1"/>
    <col min="54" max="54" width="12.140625" style="518" hidden="1" customWidth="1"/>
    <col min="55" max="55" width="2.42578125" style="518" hidden="1" customWidth="1"/>
    <col min="56" max="56" width="15.42578125" style="518" hidden="1" customWidth="1"/>
    <col min="57" max="57" width="16.7109375" style="518" hidden="1" customWidth="1"/>
    <col min="58" max="58" width="12.140625" style="518" hidden="1" customWidth="1"/>
    <col min="59" max="59" width="2.42578125" style="518" hidden="1" customWidth="1"/>
    <col min="60" max="60" width="15.42578125" style="518" hidden="1" customWidth="1"/>
    <col min="61" max="61" width="16.7109375" style="518" hidden="1" customWidth="1"/>
    <col min="62" max="62" width="12.140625" style="518" hidden="1" customWidth="1"/>
    <col min="63" max="63" width="1.85546875" style="518" hidden="1" customWidth="1"/>
    <col min="64" max="64" width="15.42578125" style="518" hidden="1" customWidth="1"/>
    <col min="65" max="65" width="16.7109375" style="518" hidden="1" customWidth="1"/>
    <col min="66" max="66" width="12.140625" style="518" hidden="1" customWidth="1"/>
    <col min="67" max="67" width="1.85546875" style="518" hidden="1" customWidth="1"/>
    <col min="68" max="68" width="15.42578125" style="518" hidden="1" customWidth="1"/>
    <col min="69" max="69" width="16.7109375" style="518" hidden="1" customWidth="1"/>
    <col min="70" max="70" width="12.140625" style="518" hidden="1" customWidth="1"/>
    <col min="71" max="71" width="1.85546875" style="518" hidden="1" customWidth="1"/>
    <col min="72" max="72" width="18.42578125" style="518" hidden="1" customWidth="1"/>
    <col min="73" max="77" width="16.5703125" style="518" hidden="1" customWidth="1"/>
    <col min="78" max="79" width="16.5703125" style="518" customWidth="1"/>
    <col min="80" max="80" width="16.5703125" style="518" hidden="1" customWidth="1"/>
    <col min="81" max="81" width="18.42578125" style="518" customWidth="1"/>
    <col min="82" max="85" width="16.5703125" style="518" customWidth="1"/>
    <col min="86" max="86" width="2.85546875" style="518" customWidth="1"/>
    <col min="87" max="87" width="3" style="102" customWidth="1"/>
    <col min="88" max="88" width="3" style="518" customWidth="1"/>
    <col min="89" max="89" width="4.7109375" style="518" customWidth="1"/>
    <col min="90" max="90" width="17.140625" style="518" customWidth="1"/>
    <col min="91" max="91" width="15.5703125" style="518" customWidth="1"/>
    <col min="92" max="92" width="17.140625" style="518" bestFit="1" customWidth="1"/>
    <col min="93" max="93" width="15.5703125" style="518" customWidth="1"/>
    <col min="94" max="94" width="17.5703125" style="518" bestFit="1" customWidth="1"/>
    <col min="95" max="95" width="15.5703125" style="518" customWidth="1"/>
    <col min="96" max="96" width="17.5703125" style="518" customWidth="1"/>
    <col min="97" max="97" width="15.5703125" style="518" customWidth="1"/>
    <col min="98" max="98" width="17.5703125" style="518" bestFit="1" customWidth="1"/>
    <col min="99" max="99" width="3" style="518" customWidth="1"/>
    <col min="100" max="100" width="3" style="102" customWidth="1"/>
    <col min="101" max="101" width="3" style="518" customWidth="1"/>
    <col min="102" max="102" width="5.28515625" style="518" customWidth="1"/>
    <col min="103" max="103" width="17.140625" style="518" customWidth="1"/>
    <col min="104" max="104" width="16.5703125" style="518" customWidth="1"/>
    <col min="105" max="105" width="16.5703125" style="103" customWidth="1"/>
    <col min="106" max="107" width="16.5703125" style="518" customWidth="1"/>
    <col min="108" max="108" width="20.140625" style="518" customWidth="1"/>
    <col min="109" max="109" width="3" style="518" customWidth="1"/>
    <col min="110" max="110" width="3" style="102" customWidth="1"/>
    <col min="111" max="111" width="3" style="518" customWidth="1"/>
    <col min="112" max="112" width="5.28515625" style="518" customWidth="1"/>
    <col min="113" max="113" width="15.5703125" style="518" customWidth="1"/>
    <col min="114" max="114" width="17.85546875" style="518" customWidth="1"/>
    <col min="115" max="115" width="17.85546875" style="103" customWidth="1"/>
    <col min="116" max="117" width="17.85546875" style="518" customWidth="1"/>
    <col min="118" max="118" width="3" style="518" customWidth="1"/>
    <col min="119" max="119" width="3" style="102" customWidth="1"/>
    <col min="120" max="120" width="2.42578125" style="518" customWidth="1"/>
    <col min="121" max="121" width="5.28515625" style="518" customWidth="1"/>
    <col min="122" max="122" width="34.85546875" style="104" customWidth="1"/>
    <col min="123" max="123" width="15.5703125" style="96" customWidth="1"/>
    <col min="124" max="124" width="16.5703125" style="96" customWidth="1"/>
    <col min="125" max="125" width="16.7109375" style="96" bestFit="1" customWidth="1"/>
    <col min="126" max="126" width="17.140625" style="96" bestFit="1" customWidth="1"/>
    <col min="127" max="128" width="15.5703125" style="518" customWidth="1"/>
    <col min="129" max="130" width="17.140625" style="518" bestFit="1" customWidth="1"/>
    <col min="131" max="131" width="3" style="518" customWidth="1"/>
    <col min="132" max="132" width="3" style="102" customWidth="1"/>
    <col min="133" max="133" width="3" style="518" customWidth="1"/>
    <col min="134" max="134" width="5.28515625" style="518" customWidth="1"/>
    <col min="135" max="135" width="17.28515625" style="518" customWidth="1"/>
    <col min="136" max="143" width="15.5703125" style="518" customWidth="1"/>
    <col min="144" max="144" width="3" style="518" customWidth="1"/>
    <col min="145" max="145" width="3" style="102" customWidth="1"/>
    <col min="146" max="146" width="3" style="518" customWidth="1"/>
    <col min="147" max="147" width="4.5703125" style="518" customWidth="1"/>
    <col min="148" max="148" width="16.5703125" style="518" customWidth="1"/>
    <col min="149" max="150" width="15.5703125" style="518" bestFit="1" customWidth="1"/>
    <col min="151" max="151" width="14.7109375" style="518" bestFit="1" customWidth="1"/>
    <col min="152" max="152" width="15.5703125" style="518" bestFit="1" customWidth="1"/>
    <col min="153" max="153" width="14.42578125" style="518" customWidth="1"/>
    <col min="154" max="155" width="15.5703125" style="518" bestFit="1" customWidth="1"/>
    <col min="156" max="156" width="15.85546875" style="518" bestFit="1" customWidth="1"/>
    <col min="157" max="157" width="16.7109375" style="518" customWidth="1"/>
    <col min="158" max="158" width="22" style="518" customWidth="1"/>
    <col min="159" max="159" width="16.7109375" style="518" customWidth="1"/>
    <col min="160" max="160" width="3" style="518" customWidth="1"/>
    <col min="161" max="161" width="3" style="102" customWidth="1"/>
    <col min="162" max="162" width="3" style="518" customWidth="1"/>
    <col min="163" max="163" width="5.28515625" style="518" customWidth="1"/>
    <col min="164" max="164" width="1.28515625" style="518" customWidth="1"/>
    <col min="165" max="165" width="38.28515625" style="518" customWidth="1"/>
    <col min="166" max="167" width="15.5703125" style="518" bestFit="1" customWidth="1"/>
    <col min="168" max="168" width="15.85546875" style="518" bestFit="1" customWidth="1"/>
    <col min="169" max="169" width="17.140625" style="518" bestFit="1" customWidth="1"/>
    <col min="170" max="170" width="15" style="518" bestFit="1" customWidth="1"/>
    <col min="171" max="172" width="15.85546875" style="518" bestFit="1" customWidth="1"/>
    <col min="173" max="173" width="15.5703125" style="518" bestFit="1" customWidth="1"/>
    <col min="174" max="174" width="21.28515625" style="518" customWidth="1"/>
    <col min="175" max="175" width="3" style="518" customWidth="1"/>
    <col min="176" max="176" width="3" style="102" customWidth="1"/>
    <col min="177" max="177" width="3" style="518" customWidth="1"/>
    <col min="178" max="178" width="10.42578125" style="518" customWidth="1"/>
    <col min="179" max="179" width="34.28515625" style="518" bestFit="1" customWidth="1"/>
    <col min="180" max="180" width="13.28515625" style="518" bestFit="1" customWidth="1"/>
    <col min="181" max="181" width="13.5703125" style="518" bestFit="1" customWidth="1"/>
    <col min="182" max="183" width="15.5703125" style="518" bestFit="1" customWidth="1"/>
    <col min="184" max="184" width="11" style="518" bestFit="1" customWidth="1"/>
    <col min="185" max="185" width="13.140625" style="518" bestFit="1" customWidth="1"/>
    <col min="186" max="186" width="13.85546875" style="518" bestFit="1" customWidth="1"/>
    <col min="187" max="187" width="14.28515625" style="518" bestFit="1" customWidth="1"/>
    <col min="188" max="188" width="3" style="518" customWidth="1"/>
    <col min="189" max="189" width="3" style="102" customWidth="1"/>
    <col min="190" max="190" width="3" style="518" customWidth="1"/>
    <col min="191" max="191" width="10.42578125" style="518" customWidth="1"/>
    <col min="192" max="192" width="34.28515625" style="518" bestFit="1" customWidth="1"/>
    <col min="193" max="200" width="12.7109375" style="518" customWidth="1"/>
    <col min="201" max="201" width="3" style="518" customWidth="1"/>
    <col min="202" max="202" width="3" style="102" customWidth="1"/>
    <col min="203" max="203" width="3" style="518" customWidth="1"/>
    <col min="204" max="204" width="10.42578125" style="518" customWidth="1"/>
    <col min="205" max="205" width="27.5703125" style="518" customWidth="1"/>
    <col min="206" max="206" width="13.5703125" style="518" bestFit="1" customWidth="1"/>
    <col min="207" max="207" width="13.28515625" style="518" bestFit="1" customWidth="1"/>
    <col min="208" max="208" width="15" style="518" bestFit="1" customWidth="1"/>
    <col min="209" max="209" width="15.85546875" style="518" bestFit="1" customWidth="1"/>
    <col min="210" max="210" width="11.5703125" style="518" bestFit="1" customWidth="1"/>
    <col min="211" max="211" width="11" style="518" bestFit="1" customWidth="1"/>
    <col min="212" max="212" width="12.7109375" style="518" bestFit="1" customWidth="1"/>
    <col min="213" max="213" width="13.28515625" style="518" bestFit="1" customWidth="1"/>
    <col min="214" max="214" width="3" style="518" customWidth="1"/>
    <col min="215" max="215" width="3" style="102" customWidth="1"/>
    <col min="216" max="216" width="3" style="518" customWidth="1"/>
    <col min="217" max="217" width="5.28515625" style="518" customWidth="1"/>
    <col min="218" max="218" width="16.7109375" style="518" customWidth="1"/>
    <col min="219" max="221" width="17.28515625" style="518" customWidth="1"/>
    <col min="222" max="222" width="19.28515625" style="518" bestFit="1" customWidth="1"/>
    <col min="223" max="226" width="17.28515625" style="518" customWidth="1"/>
    <col min="227" max="227" width="3" style="518" customWidth="1"/>
    <col min="228" max="228" width="3" style="102" customWidth="1"/>
    <col min="229" max="229" width="3" style="518" customWidth="1"/>
    <col min="230" max="230" width="2.85546875" style="518" customWidth="1"/>
    <col min="231" max="231" width="5.7109375" style="518" customWidth="1"/>
    <col min="232" max="232" width="9.28515625" style="518" bestFit="1" customWidth="1"/>
    <col min="233" max="233" width="15.7109375" style="518" bestFit="1" customWidth="1"/>
    <col min="234" max="234" width="15.140625" style="518" bestFit="1" customWidth="1"/>
    <col min="235" max="235" width="24.85546875" style="518" bestFit="1" customWidth="1"/>
    <col min="236" max="236" width="26" style="518" bestFit="1" customWidth="1"/>
    <col min="237" max="237" width="8.5703125" style="518" bestFit="1" customWidth="1"/>
    <col min="238" max="238" width="10" style="518" bestFit="1" customWidth="1"/>
    <col min="239" max="241" width="10.28515625" style="518" bestFit="1" customWidth="1"/>
    <col min="242" max="242" width="4.140625" style="518" customWidth="1"/>
    <col min="243" max="243" width="4.140625" style="102" customWidth="1"/>
    <col min="244" max="244" width="4.140625" style="518" customWidth="1"/>
    <col min="245" max="245" width="5.28515625" style="518" customWidth="1"/>
    <col min="246" max="246" width="11.42578125" style="518" customWidth="1"/>
    <col min="247" max="247" width="11.85546875" style="518" customWidth="1"/>
    <col min="248" max="248" width="19.28515625" style="518" customWidth="1"/>
    <col min="249" max="249" width="15.140625" style="518" bestFit="1" customWidth="1"/>
    <col min="250" max="250" width="18.7109375" style="518" bestFit="1" customWidth="1"/>
    <col min="251" max="251" width="19" style="518" bestFit="1" customWidth="1"/>
    <col min="252" max="252" width="17.5703125" style="518" bestFit="1" customWidth="1"/>
    <col min="253" max="253" width="16.7109375" style="518" bestFit="1" customWidth="1"/>
    <col min="254" max="255" width="15.5703125" style="518" customWidth="1"/>
    <col min="256" max="256" width="16.28515625" style="518" bestFit="1" customWidth="1"/>
    <col min="257" max="257" width="15.42578125" style="518" bestFit="1" customWidth="1"/>
    <col min="258" max="258" width="4.140625" style="518" customWidth="1"/>
    <col min="259" max="259" width="4.140625" style="102" customWidth="1"/>
    <col min="260" max="260" width="4.140625" style="518" customWidth="1"/>
    <col min="261" max="261" width="5.28515625" style="518" customWidth="1"/>
    <col min="262" max="262" width="16.140625" style="518" customWidth="1"/>
    <col min="263" max="263" width="8.5703125" style="518" customWidth="1"/>
    <col min="264" max="264" width="10.28515625" style="518" customWidth="1"/>
    <col min="265" max="266" width="17.5703125" style="518" bestFit="1" customWidth="1"/>
    <col min="267" max="267" width="15.5703125" style="518" bestFit="1" customWidth="1"/>
    <col min="268" max="268" width="15.5703125" style="107" bestFit="1" customWidth="1"/>
    <col min="269" max="269" width="17.140625" style="518" bestFit="1" customWidth="1"/>
    <col min="270" max="270" width="16.140625" style="107" bestFit="1" customWidth="1"/>
    <col min="271" max="271" width="17.140625" style="518" bestFit="1" customWidth="1"/>
    <col min="272" max="272" width="16.7109375" style="518" bestFit="1" customWidth="1"/>
    <col min="273" max="273" width="15.85546875" style="518" bestFit="1" customWidth="1"/>
    <col min="274" max="274" width="15" style="518" bestFit="1" customWidth="1"/>
    <col min="275" max="276" width="15.5703125" style="518" bestFit="1" customWidth="1"/>
    <col min="277" max="278" width="15.85546875" style="518" bestFit="1" customWidth="1"/>
    <col min="279" max="279" width="15.5703125" style="518" bestFit="1" customWidth="1"/>
    <col min="280" max="280" width="17.140625" style="518" bestFit="1" customWidth="1"/>
    <col min="281" max="281" width="23" style="518" customWidth="1"/>
    <col min="282" max="282" width="27" style="518" customWidth="1"/>
    <col min="283" max="283" width="20.7109375" style="518" bestFit="1" customWidth="1"/>
    <col min="284" max="284" width="3.42578125" style="518" customWidth="1"/>
    <col min="285" max="285" width="3.42578125" style="102" customWidth="1"/>
    <col min="286" max="286" width="2.42578125" style="518" customWidth="1"/>
    <col min="287" max="287" width="6.42578125" style="518" customWidth="1"/>
    <col min="288" max="288" width="9.85546875" style="518" customWidth="1"/>
    <col min="289" max="289" width="8.85546875" style="518" bestFit="1" customWidth="1"/>
    <col min="290" max="290" width="9.85546875" style="518" customWidth="1"/>
    <col min="291" max="292" width="16.7109375" style="518" customWidth="1"/>
    <col min="293" max="293" width="8.7109375" style="518" customWidth="1"/>
    <col min="294" max="294" width="9.85546875" style="518" customWidth="1"/>
    <col min="295" max="295" width="8.85546875" style="518" bestFit="1" customWidth="1"/>
    <col min="296" max="296" width="10.42578125" style="518" customWidth="1"/>
    <col min="297" max="297" width="4.140625" style="518" customWidth="1"/>
    <col min="298" max="298" width="4.140625" style="102" customWidth="1"/>
    <col min="299" max="299" width="4.140625" style="518" customWidth="1"/>
    <col min="300" max="300" width="5.140625" style="518" customWidth="1"/>
    <col min="301" max="301" width="12.5703125" style="518" customWidth="1"/>
    <col min="302" max="302" width="12.140625" style="518" customWidth="1"/>
    <col min="303" max="305" width="13.140625" style="518" customWidth="1"/>
    <col min="306" max="307" width="19" style="518" bestFit="1" customWidth="1"/>
    <col min="308" max="308" width="16.7109375" style="518" bestFit="1" customWidth="1"/>
    <col min="309" max="309" width="18.140625" style="518" bestFit="1" customWidth="1"/>
    <col min="310" max="311" width="15.85546875" style="518" bestFit="1" customWidth="1"/>
    <col min="312" max="312" width="17.5703125" style="518" bestFit="1" customWidth="1"/>
    <col min="313" max="313" width="18.7109375" style="518" bestFit="1" customWidth="1"/>
    <col min="314" max="314" width="4.140625" style="518" customWidth="1"/>
    <col min="315" max="315" width="4.140625" style="102" customWidth="1"/>
    <col min="316" max="316" width="4.140625" style="518" customWidth="1"/>
    <col min="317" max="317" width="5.140625" style="518" customWidth="1"/>
    <col min="318" max="318" width="21.5703125" style="518" customWidth="1"/>
    <col min="319" max="319" width="11.5703125" style="518" customWidth="1"/>
    <col min="320" max="320" width="17.5703125" style="518" customWidth="1"/>
    <col min="321" max="321" width="16.7109375" style="518" bestFit="1" customWidth="1"/>
    <col min="322" max="322" width="17.5703125" style="518" bestFit="1" customWidth="1"/>
    <col min="323" max="323" width="15" style="518" customWidth="1"/>
    <col min="324" max="324" width="15" style="107" customWidth="1"/>
    <col min="325" max="325" width="15" style="518" customWidth="1"/>
    <col min="326" max="326" width="17.140625" style="107" bestFit="1" customWidth="1"/>
    <col min="327" max="327" width="15" style="107" customWidth="1"/>
    <col min="328" max="328" width="17.28515625" style="518" bestFit="1" customWidth="1"/>
    <col min="329" max="329" width="15" style="518" customWidth="1"/>
    <col min="330" max="330" width="15.85546875" style="518" bestFit="1" customWidth="1"/>
    <col min="331" max="334" width="15" style="518" customWidth="1"/>
    <col min="335" max="335" width="16.140625" style="518" bestFit="1" customWidth="1"/>
    <col min="336" max="336" width="17.140625" style="518" bestFit="1" customWidth="1"/>
    <col min="337" max="337" width="17.85546875" style="518" customWidth="1"/>
    <col min="338" max="338" width="17.5703125" style="518" bestFit="1" customWidth="1"/>
    <col min="339" max="339" width="7" style="518" customWidth="1"/>
    <col min="340" max="340" width="2.42578125" style="102" customWidth="1"/>
    <col min="341" max="342" width="6.85546875" style="518" customWidth="1"/>
    <col min="343" max="343" width="9.85546875" style="518" customWidth="1"/>
    <col min="344" max="344" width="18.85546875" style="518" customWidth="1"/>
    <col min="345" max="345" width="18.42578125" style="518" customWidth="1"/>
    <col min="346" max="346" width="18.7109375" style="518" bestFit="1" customWidth="1"/>
    <col min="347" max="347" width="17.5703125" style="518" bestFit="1" customWidth="1"/>
    <col min="348" max="348" width="17.140625" style="518" bestFit="1" customWidth="1"/>
    <col min="349" max="349" width="17.5703125" style="518" bestFit="1" customWidth="1"/>
    <col min="350" max="351" width="15.85546875" style="518" bestFit="1" customWidth="1"/>
    <col min="352" max="352" width="17.5703125" style="518" bestFit="1" customWidth="1"/>
    <col min="353" max="353" width="10.28515625" style="518"/>
    <col min="354" max="354" width="2.85546875" style="102" customWidth="1"/>
    <col min="355" max="355" width="2.85546875" style="518" customWidth="1"/>
    <col min="356" max="356" width="16.5703125" style="518" customWidth="1"/>
    <col min="357" max="357" width="33.85546875" style="518" bestFit="1" customWidth="1"/>
    <col min="358" max="358" width="16.5703125" style="518" customWidth="1"/>
    <col min="359" max="359" width="2.85546875" style="518" customWidth="1"/>
    <col min="360" max="360" width="2.85546875" style="102" customWidth="1"/>
    <col min="361" max="361" width="2.85546875" style="518" customWidth="1"/>
    <col min="362" max="362" width="4.140625" style="96" customWidth="1"/>
    <col min="363" max="363" width="61.140625" style="96" customWidth="1"/>
    <col min="364" max="364" width="18.42578125" style="518" bestFit="1" customWidth="1"/>
    <col min="365" max="365" width="20.5703125" style="518" customWidth="1"/>
    <col min="366" max="366" width="17.28515625" style="518" hidden="1" customWidth="1"/>
    <col min="367" max="367" width="21.85546875" style="518" bestFit="1" customWidth="1"/>
    <col min="368" max="368" width="21.7109375" style="518" customWidth="1"/>
    <col min="369" max="369" width="4.140625" style="518" customWidth="1"/>
    <col min="370" max="370" width="2.85546875" style="102" customWidth="1"/>
    <col min="371" max="371" width="2.85546875" style="518" customWidth="1"/>
    <col min="372" max="372" width="4.7109375" style="518" bestFit="1" customWidth="1"/>
    <col min="373" max="373" width="60.7109375" style="107" bestFit="1" customWidth="1"/>
    <col min="374" max="374" width="26.140625" style="518" customWidth="1"/>
    <col min="375" max="375" width="26.85546875" style="518" bestFit="1" customWidth="1"/>
    <col min="376" max="376" width="18.42578125" style="518" bestFit="1" customWidth="1"/>
    <col min="377" max="377" width="14.28515625" style="518" customWidth="1"/>
    <col min="378" max="378" width="4.140625" style="518" customWidth="1"/>
    <col min="379" max="379" width="2.85546875" style="102" customWidth="1"/>
    <col min="380" max="380" width="2.85546875" style="518" customWidth="1"/>
    <col min="381" max="381" width="13.85546875" style="97" bestFit="1" customWidth="1"/>
    <col min="382" max="382" width="14.28515625" style="97" bestFit="1" customWidth="1"/>
    <col min="383" max="383" width="13" style="97" bestFit="1" customWidth="1"/>
    <col min="384" max="387" width="9.140625" style="97"/>
  </cols>
  <sheetData>
    <row r="1" spans="2:387" x14ac:dyDescent="0.3">
      <c r="B1" s="981" t="s">
        <v>0</v>
      </c>
      <c r="C1" s="981"/>
      <c r="D1" s="981"/>
      <c r="E1" s="981"/>
      <c r="F1" s="981"/>
      <c r="G1" s="981"/>
      <c r="H1" s="981"/>
      <c r="I1" s="981"/>
      <c r="J1" s="981"/>
      <c r="K1" s="981"/>
      <c r="L1" s="981"/>
      <c r="M1" s="981"/>
      <c r="N1" s="981"/>
      <c r="O1" s="981"/>
      <c r="P1" s="981"/>
      <c r="Q1" s="981"/>
      <c r="R1" s="981"/>
      <c r="S1" s="91"/>
      <c r="T1" s="92"/>
      <c r="U1" s="91"/>
      <c r="V1" s="91"/>
      <c r="W1" s="981" t="s">
        <v>1</v>
      </c>
      <c r="X1" s="981"/>
      <c r="Y1" s="981"/>
      <c r="Z1" s="981"/>
      <c r="AA1" s="981"/>
      <c r="AB1" s="492"/>
      <c r="AC1" s="492"/>
      <c r="AE1" s="492"/>
      <c r="AF1" s="981" t="s">
        <v>2</v>
      </c>
      <c r="AG1" s="981"/>
      <c r="AH1" s="981"/>
      <c r="AI1" s="981"/>
      <c r="AJ1" s="981"/>
      <c r="AK1" s="91"/>
      <c r="AL1" s="94"/>
      <c r="AM1" s="91"/>
      <c r="AN1" s="981" t="s">
        <v>3</v>
      </c>
      <c r="AO1" s="981"/>
      <c r="AP1" s="981"/>
      <c r="AQ1" s="981"/>
      <c r="AR1" s="981"/>
      <c r="AS1" s="981"/>
      <c r="AT1" s="981"/>
      <c r="AU1" s="981"/>
      <c r="AV1" s="981"/>
      <c r="AW1" s="981"/>
      <c r="AX1" s="981"/>
      <c r="AY1" s="981"/>
      <c r="AZ1" s="981"/>
      <c r="BA1" s="981"/>
      <c r="BB1" s="981"/>
      <c r="BC1" s="981"/>
      <c r="BD1" s="981"/>
      <c r="BE1" s="981"/>
      <c r="BF1" s="981"/>
      <c r="BG1" s="981"/>
      <c r="BH1" s="981"/>
      <c r="BI1" s="981"/>
      <c r="BJ1" s="981"/>
      <c r="BK1" s="981"/>
      <c r="BL1" s="981"/>
      <c r="BM1" s="981"/>
      <c r="BN1" s="981"/>
      <c r="BO1" s="981"/>
      <c r="BP1" s="981"/>
      <c r="BQ1" s="981"/>
      <c r="BR1" s="981"/>
      <c r="BS1" s="981"/>
      <c r="BT1" s="981"/>
      <c r="BU1" s="981"/>
      <c r="BV1" s="981"/>
      <c r="BW1" s="981"/>
      <c r="BX1" s="981"/>
      <c r="BY1" s="981"/>
      <c r="BZ1" s="981"/>
      <c r="CA1" s="981"/>
      <c r="CB1" s="981"/>
      <c r="CC1" s="981"/>
      <c r="CD1" s="981"/>
      <c r="CE1" s="981"/>
      <c r="CF1" s="981"/>
      <c r="CG1" s="981"/>
      <c r="CH1" s="91"/>
      <c r="CI1" s="92"/>
      <c r="CJ1" s="981" t="s">
        <v>4</v>
      </c>
      <c r="CK1" s="981"/>
      <c r="CL1" s="981"/>
      <c r="CM1" s="981"/>
      <c r="CN1" s="981"/>
      <c r="CO1" s="981"/>
      <c r="CP1" s="981"/>
      <c r="CQ1" s="981"/>
      <c r="CR1" s="981"/>
      <c r="CS1" s="981"/>
      <c r="CT1" s="981"/>
      <c r="CU1" s="981"/>
      <c r="CV1" s="95"/>
      <c r="CW1" s="981" t="s">
        <v>5</v>
      </c>
      <c r="CX1" s="981"/>
      <c r="CY1" s="981"/>
      <c r="CZ1" s="981"/>
      <c r="DA1" s="981"/>
      <c r="DB1" s="981"/>
      <c r="DC1" s="981"/>
      <c r="DD1" s="981"/>
      <c r="DE1" s="981"/>
      <c r="DF1" s="95"/>
      <c r="DG1" s="981" t="s">
        <v>6</v>
      </c>
      <c r="DH1" s="981"/>
      <c r="DI1" s="981"/>
      <c r="DJ1" s="981"/>
      <c r="DK1" s="981"/>
      <c r="DL1" s="981"/>
      <c r="DM1" s="981"/>
      <c r="DN1" s="981"/>
      <c r="DO1" s="94"/>
      <c r="DP1" s="981" t="s">
        <v>7</v>
      </c>
      <c r="DQ1" s="981"/>
      <c r="DR1" s="981"/>
      <c r="DS1" s="981"/>
      <c r="DT1" s="981"/>
      <c r="DU1" s="981"/>
      <c r="DV1" s="981"/>
      <c r="DW1" s="981"/>
      <c r="DX1" s="981"/>
      <c r="DY1" s="981"/>
      <c r="DZ1" s="981"/>
      <c r="EA1" s="981"/>
      <c r="EB1" s="95"/>
      <c r="ED1" s="969" t="s">
        <v>8</v>
      </c>
      <c r="EE1" s="969"/>
      <c r="EF1" s="969"/>
      <c r="EG1" s="969"/>
      <c r="EH1" s="969"/>
      <c r="EI1" s="969"/>
      <c r="EJ1" s="969"/>
      <c r="EK1" s="969"/>
      <c r="EL1" s="969"/>
      <c r="EM1" s="969"/>
      <c r="EN1" s="91"/>
      <c r="EO1" s="95"/>
      <c r="EP1" s="91"/>
      <c r="EQ1" s="969" t="s">
        <v>9</v>
      </c>
      <c r="ER1" s="969"/>
      <c r="ES1" s="969"/>
      <c r="ET1" s="969"/>
      <c r="EU1" s="969"/>
      <c r="EV1" s="969"/>
      <c r="EW1" s="969"/>
      <c r="EX1" s="969"/>
      <c r="EY1" s="969"/>
      <c r="EZ1" s="969"/>
      <c r="FA1" s="969"/>
      <c r="FB1" s="969"/>
      <c r="FC1" s="969"/>
      <c r="FD1" s="91"/>
      <c r="FE1" s="95"/>
      <c r="FF1" s="91"/>
      <c r="FG1" s="969" t="s">
        <v>10</v>
      </c>
      <c r="FH1" s="969"/>
      <c r="FI1" s="969"/>
      <c r="FJ1" s="969"/>
      <c r="FK1" s="969"/>
      <c r="FL1" s="969"/>
      <c r="FM1" s="969"/>
      <c r="FN1" s="969"/>
      <c r="FO1" s="969"/>
      <c r="FP1" s="969"/>
      <c r="FQ1" s="969"/>
      <c r="FR1" s="969"/>
      <c r="FS1" s="91"/>
      <c r="FT1" s="95"/>
      <c r="FU1" s="969" t="s">
        <v>11</v>
      </c>
      <c r="FV1" s="969"/>
      <c r="FW1" s="969"/>
      <c r="FX1" s="969"/>
      <c r="FY1" s="969"/>
      <c r="FZ1" s="969"/>
      <c r="GA1" s="969"/>
      <c r="GB1" s="969"/>
      <c r="GC1" s="969"/>
      <c r="GD1" s="969"/>
      <c r="GE1" s="969"/>
      <c r="GF1" s="969"/>
      <c r="GG1" s="92"/>
      <c r="GH1" s="969" t="s">
        <v>12</v>
      </c>
      <c r="GI1" s="969"/>
      <c r="GJ1" s="969"/>
      <c r="GK1" s="969"/>
      <c r="GL1" s="969"/>
      <c r="GM1" s="969"/>
      <c r="GN1" s="969"/>
      <c r="GO1" s="969"/>
      <c r="GP1" s="969"/>
      <c r="GQ1" s="969"/>
      <c r="GR1" s="969"/>
      <c r="GS1" s="969"/>
      <c r="GT1" s="92"/>
      <c r="GU1" s="969" t="s">
        <v>13</v>
      </c>
      <c r="GV1" s="969"/>
      <c r="GW1" s="969"/>
      <c r="GX1" s="969"/>
      <c r="GY1" s="969"/>
      <c r="GZ1" s="969"/>
      <c r="HA1" s="969"/>
      <c r="HB1" s="969"/>
      <c r="HC1" s="969"/>
      <c r="HD1" s="969"/>
      <c r="HE1" s="969"/>
      <c r="HF1" s="969"/>
      <c r="HG1" s="92"/>
      <c r="HH1" s="969" t="s">
        <v>14</v>
      </c>
      <c r="HI1" s="969"/>
      <c r="HJ1" s="969"/>
      <c r="HK1" s="969"/>
      <c r="HL1" s="969"/>
      <c r="HM1" s="969"/>
      <c r="HN1" s="969"/>
      <c r="HO1" s="969"/>
      <c r="HP1" s="969"/>
      <c r="HQ1" s="969"/>
      <c r="HR1" s="969"/>
      <c r="HS1" s="969"/>
      <c r="HT1" s="95"/>
      <c r="HV1" s="993" t="s">
        <v>15</v>
      </c>
      <c r="HW1" s="993"/>
      <c r="HX1" s="993"/>
      <c r="HY1" s="993"/>
      <c r="HZ1" s="993"/>
      <c r="IA1" s="993"/>
      <c r="IB1" s="993"/>
      <c r="IC1" s="993"/>
      <c r="ID1" s="993"/>
      <c r="IE1" s="993"/>
      <c r="IF1" s="993"/>
      <c r="IG1" s="993"/>
      <c r="II1" s="92"/>
      <c r="IJ1" s="91"/>
      <c r="IK1" s="985" t="s">
        <v>16</v>
      </c>
      <c r="IL1" s="985"/>
      <c r="IM1" s="985"/>
      <c r="IN1" s="985"/>
      <c r="IO1" s="985"/>
      <c r="IP1" s="985"/>
      <c r="IQ1" s="985"/>
      <c r="IR1" s="985"/>
      <c r="IS1" s="985"/>
      <c r="IT1" s="985"/>
      <c r="IU1" s="985"/>
      <c r="IV1" s="985"/>
      <c r="IW1" s="985"/>
      <c r="IX1" s="91"/>
      <c r="IY1" s="92"/>
      <c r="IZ1" s="91"/>
      <c r="JA1" s="969" t="s">
        <v>17</v>
      </c>
      <c r="JB1" s="969"/>
      <c r="JC1" s="969"/>
      <c r="JD1" s="969"/>
      <c r="JE1" s="969"/>
      <c r="JF1" s="969"/>
      <c r="JG1" s="969"/>
      <c r="JH1" s="969"/>
      <c r="JI1" s="969"/>
      <c r="JJ1" s="969"/>
      <c r="JK1" s="969"/>
      <c r="JL1" s="969"/>
      <c r="JM1" s="969"/>
      <c r="JN1" s="969"/>
      <c r="JO1" s="969"/>
      <c r="JP1" s="969"/>
      <c r="JQ1" s="969"/>
      <c r="JR1" s="969"/>
      <c r="JS1" s="969"/>
      <c r="JT1" s="969"/>
      <c r="JU1" s="969"/>
      <c r="JV1" s="969"/>
      <c r="JW1" s="969"/>
      <c r="JX1" s="93"/>
      <c r="JY1" s="95"/>
      <c r="JZ1" s="91"/>
      <c r="KA1" s="985" t="s">
        <v>18</v>
      </c>
      <c r="KB1" s="985"/>
      <c r="KC1" s="985"/>
      <c r="KD1" s="985"/>
      <c r="KE1" s="985"/>
      <c r="KF1" s="985"/>
      <c r="KG1" s="985"/>
      <c r="KH1" s="985"/>
      <c r="KI1" s="985"/>
      <c r="KJ1" s="985"/>
      <c r="KK1" s="702"/>
      <c r="KL1" s="703"/>
      <c r="KM1" s="702"/>
      <c r="KN1" s="985" t="s">
        <v>19</v>
      </c>
      <c r="KO1" s="985"/>
      <c r="KP1" s="985"/>
      <c r="KQ1" s="985"/>
      <c r="KR1" s="985"/>
      <c r="KS1" s="985"/>
      <c r="KT1" s="985"/>
      <c r="KU1" s="985"/>
      <c r="KV1" s="985"/>
      <c r="KW1" s="985"/>
      <c r="KX1" s="985"/>
      <c r="KY1" s="985"/>
      <c r="KZ1" s="985"/>
      <c r="LA1" s="985"/>
      <c r="LB1" s="474"/>
      <c r="LC1" s="703"/>
      <c r="LD1" s="474"/>
      <c r="LE1" s="985" t="s">
        <v>20</v>
      </c>
      <c r="LF1" s="985"/>
      <c r="LG1" s="985"/>
      <c r="LH1" s="985"/>
      <c r="LI1" s="985"/>
      <c r="LJ1" s="985"/>
      <c r="LK1" s="985"/>
      <c r="LL1" s="985"/>
      <c r="LM1" s="985"/>
      <c r="LN1" s="985"/>
      <c r="LO1" s="985"/>
      <c r="LP1" s="985"/>
      <c r="LQ1" s="985"/>
      <c r="LR1" s="985"/>
      <c r="LS1" s="985"/>
      <c r="LT1" s="985"/>
      <c r="LU1" s="985"/>
      <c r="LV1" s="985"/>
      <c r="LW1" s="985"/>
      <c r="LX1" s="985"/>
      <c r="LY1" s="985"/>
      <c r="LZ1" s="985"/>
      <c r="MA1" s="895"/>
      <c r="MB1" s="704"/>
      <c r="MC1" s="702"/>
      <c r="MD1" s="985" t="s">
        <v>21</v>
      </c>
      <c r="ME1" s="985"/>
      <c r="MF1" s="985"/>
      <c r="MG1" s="985"/>
      <c r="MH1" s="985"/>
      <c r="MI1" s="985"/>
      <c r="MJ1" s="985"/>
      <c r="MK1" s="985"/>
      <c r="ML1" s="985"/>
      <c r="MM1" s="985"/>
      <c r="MN1" s="985"/>
      <c r="MO1" s="492"/>
      <c r="MP1" s="705"/>
      <c r="MQ1" s="492"/>
      <c r="MR1" s="985" t="s">
        <v>22</v>
      </c>
      <c r="MS1" s="985"/>
      <c r="MT1" s="985"/>
      <c r="MU1" s="492"/>
      <c r="MV1" s="705"/>
      <c r="MW1" s="492"/>
      <c r="MX1" s="987" t="s">
        <v>23</v>
      </c>
      <c r="MY1" s="987"/>
      <c r="MZ1" s="987"/>
      <c r="NA1" s="987"/>
      <c r="NB1" s="987"/>
      <c r="NC1" s="987"/>
      <c r="ND1" s="987"/>
      <c r="NE1" s="492"/>
      <c r="NF1" s="705"/>
      <c r="NG1" s="492"/>
      <c r="NH1" s="984" t="s">
        <v>24</v>
      </c>
      <c r="NI1" s="984"/>
      <c r="NJ1" s="984"/>
      <c r="NK1" s="984"/>
      <c r="NL1" s="984"/>
      <c r="NM1" s="984"/>
      <c r="NN1" s="492"/>
      <c r="NO1" s="705"/>
      <c r="NP1" s="492"/>
    </row>
    <row r="2" spans="2:387" x14ac:dyDescent="0.3">
      <c r="B2" s="99"/>
      <c r="C2" s="100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01"/>
      <c r="AK2" s="101"/>
      <c r="AM2" s="93"/>
      <c r="AO2" s="93"/>
      <c r="AP2" s="93"/>
      <c r="AQ2" s="93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1"/>
      <c r="EN2" s="105"/>
      <c r="EO2" s="106"/>
      <c r="FD2" s="105"/>
      <c r="FE2" s="106"/>
      <c r="FS2" s="93"/>
      <c r="GF2" s="93"/>
      <c r="GG2" s="95"/>
      <c r="GS2" s="93"/>
      <c r="GT2" s="95"/>
      <c r="HF2" s="93"/>
      <c r="HG2" s="95"/>
      <c r="HV2" s="993"/>
      <c r="HW2" s="993"/>
      <c r="HX2" s="993"/>
      <c r="HY2" s="993"/>
      <c r="HZ2" s="993"/>
      <c r="IA2" s="993"/>
      <c r="IB2" s="993"/>
      <c r="IC2" s="993"/>
      <c r="ID2" s="993"/>
      <c r="IE2" s="993"/>
      <c r="IF2" s="993"/>
      <c r="IG2" s="993"/>
      <c r="IH2" s="93"/>
      <c r="IK2" s="985"/>
      <c r="IL2" s="985"/>
      <c r="IM2" s="985"/>
      <c r="IN2" s="985"/>
      <c r="IO2" s="985"/>
      <c r="IP2" s="985"/>
      <c r="IQ2" s="985"/>
      <c r="IR2" s="985"/>
      <c r="IS2" s="985"/>
      <c r="IT2" s="985"/>
      <c r="IU2" s="985"/>
      <c r="IV2" s="985"/>
      <c r="IW2" s="985"/>
      <c r="JZ2" s="108"/>
      <c r="KA2" s="986"/>
      <c r="KB2" s="986"/>
      <c r="KC2" s="986"/>
      <c r="KD2" s="986"/>
      <c r="KE2" s="986"/>
      <c r="KF2" s="986"/>
      <c r="KG2" s="986"/>
      <c r="KH2" s="986"/>
      <c r="KI2" s="986"/>
      <c r="KJ2" s="986"/>
      <c r="KK2" s="702"/>
      <c r="KL2" s="706"/>
      <c r="KM2" s="702"/>
      <c r="KN2" s="985"/>
      <c r="KO2" s="985"/>
      <c r="KP2" s="985"/>
      <c r="KQ2" s="985"/>
      <c r="KR2" s="985"/>
      <c r="KS2" s="985"/>
      <c r="KT2" s="985"/>
      <c r="KU2" s="985"/>
      <c r="KV2" s="985"/>
      <c r="KW2" s="985"/>
      <c r="KX2" s="985"/>
      <c r="KY2" s="985"/>
      <c r="KZ2" s="985"/>
      <c r="LA2" s="985"/>
      <c r="LB2" s="707"/>
      <c r="LC2" s="708"/>
      <c r="LD2" s="707"/>
      <c r="LE2" s="985"/>
      <c r="LF2" s="985"/>
      <c r="LG2" s="985"/>
      <c r="LH2" s="985"/>
      <c r="LI2" s="985"/>
      <c r="LJ2" s="985"/>
      <c r="LK2" s="985"/>
      <c r="LL2" s="985"/>
      <c r="LM2" s="985"/>
      <c r="LN2" s="985"/>
      <c r="LO2" s="985"/>
      <c r="LP2" s="985"/>
      <c r="LQ2" s="985"/>
      <c r="LR2" s="985"/>
      <c r="LS2" s="985"/>
      <c r="LT2" s="985"/>
      <c r="LU2" s="985"/>
      <c r="LV2" s="985"/>
      <c r="LW2" s="985"/>
      <c r="LX2" s="985"/>
      <c r="LY2" s="985"/>
      <c r="LZ2" s="985"/>
      <c r="MA2" s="709"/>
      <c r="MB2" s="710"/>
      <c r="MC2" s="702"/>
      <c r="MD2" s="985"/>
      <c r="ME2" s="985"/>
      <c r="MF2" s="985"/>
      <c r="MG2" s="985"/>
      <c r="MH2" s="985"/>
      <c r="MI2" s="985"/>
      <c r="MJ2" s="985"/>
      <c r="MK2" s="985"/>
      <c r="ML2" s="985"/>
      <c r="MM2" s="985"/>
      <c r="MN2" s="985"/>
      <c r="MO2" s="702"/>
      <c r="MP2" s="703"/>
      <c r="MQ2" s="474"/>
      <c r="MR2" s="985"/>
      <c r="MS2" s="985"/>
      <c r="MT2" s="985"/>
      <c r="MU2" s="474"/>
      <c r="MV2" s="703"/>
      <c r="MW2" s="474"/>
      <c r="MX2" s="987"/>
      <c r="MY2" s="987"/>
      <c r="MZ2" s="987"/>
      <c r="NA2" s="987"/>
      <c r="NB2" s="987"/>
      <c r="NC2" s="987"/>
      <c r="ND2" s="987"/>
      <c r="NE2" s="702"/>
      <c r="NF2" s="703"/>
      <c r="NG2" s="474"/>
      <c r="NH2" s="984"/>
      <c r="NI2" s="984"/>
      <c r="NJ2" s="984"/>
      <c r="NK2" s="984"/>
      <c r="NL2" s="984"/>
      <c r="NM2" s="984"/>
      <c r="NN2" s="702"/>
      <c r="NO2" s="703"/>
      <c r="NP2" s="474"/>
    </row>
    <row r="3" spans="2:387" ht="16.5" customHeight="1" x14ac:dyDescent="0.3">
      <c r="B3" s="89"/>
      <c r="C3" s="89"/>
      <c r="D3" s="89"/>
      <c r="E3" s="89"/>
      <c r="F3" s="988" t="s">
        <v>25</v>
      </c>
      <c r="G3" s="989"/>
      <c r="H3" s="988" t="s">
        <v>26</v>
      </c>
      <c r="I3" s="990"/>
      <c r="J3" s="989"/>
      <c r="K3" s="988" t="s">
        <v>27</v>
      </c>
      <c r="L3" s="990"/>
      <c r="M3" s="989"/>
      <c r="N3" s="988" t="s">
        <v>28</v>
      </c>
      <c r="O3" s="990"/>
      <c r="P3" s="989"/>
      <c r="Q3" s="988" t="s">
        <v>29</v>
      </c>
      <c r="R3" s="990"/>
      <c r="S3" s="111"/>
      <c r="T3" s="112"/>
      <c r="U3" s="113"/>
      <c r="V3" s="114"/>
      <c r="W3" s="114"/>
      <c r="X3" s="114"/>
      <c r="Y3" s="114"/>
      <c r="Z3" s="114"/>
      <c r="AA3" s="114"/>
      <c r="AD3" s="112"/>
      <c r="AF3" s="114"/>
      <c r="AG3" s="114"/>
      <c r="AH3" s="114"/>
      <c r="AI3" s="114"/>
      <c r="AJ3" s="114"/>
      <c r="AK3" s="115"/>
      <c r="AN3" s="116"/>
      <c r="AO3" s="117"/>
      <c r="AP3" s="118"/>
      <c r="AQ3" s="117"/>
      <c r="AR3" s="119"/>
      <c r="AS3" s="991" t="s">
        <v>30</v>
      </c>
      <c r="AT3" s="992"/>
      <c r="AU3" s="117"/>
      <c r="AV3" s="991" t="s">
        <v>31</v>
      </c>
      <c r="AW3" s="992"/>
      <c r="AX3" s="992"/>
      <c r="AY3" s="117"/>
      <c r="AZ3" s="991" t="s">
        <v>32</v>
      </c>
      <c r="BA3" s="992"/>
      <c r="BB3" s="992"/>
      <c r="BC3" s="117"/>
      <c r="BD3" s="991" t="s">
        <v>33</v>
      </c>
      <c r="BE3" s="992"/>
      <c r="BF3" s="992"/>
      <c r="BG3" s="117"/>
      <c r="BH3" s="991" t="s">
        <v>34</v>
      </c>
      <c r="BI3" s="992"/>
      <c r="BJ3" s="992"/>
      <c r="BK3" s="117"/>
      <c r="BL3" s="991" t="s">
        <v>35</v>
      </c>
      <c r="BM3" s="992"/>
      <c r="BN3" s="992"/>
      <c r="BO3" s="117"/>
      <c r="BP3" s="991" t="s">
        <v>36</v>
      </c>
      <c r="BQ3" s="992"/>
      <c r="BR3" s="992"/>
      <c r="BS3" s="117"/>
      <c r="BT3" s="991" t="s">
        <v>37</v>
      </c>
      <c r="BU3" s="992"/>
      <c r="BV3" s="992"/>
      <c r="BW3" s="992" t="s">
        <v>38</v>
      </c>
      <c r="BX3" s="992"/>
      <c r="BY3" s="994"/>
      <c r="BZ3" s="991" t="s">
        <v>39</v>
      </c>
      <c r="CA3" s="992"/>
      <c r="CB3" s="994"/>
      <c r="CC3" s="991" t="s">
        <v>25</v>
      </c>
      <c r="CD3" s="992"/>
      <c r="CE3" s="994"/>
      <c r="CF3" s="966" t="s">
        <v>40</v>
      </c>
      <c r="CG3" s="968"/>
      <c r="CK3" s="120"/>
      <c r="CL3" s="121"/>
      <c r="CM3" s="973" t="str">
        <f>F3</f>
        <v>2022 Fiscal Year As Accepted</v>
      </c>
      <c r="CN3" s="974"/>
      <c r="CO3" s="974"/>
      <c r="CP3" s="975"/>
      <c r="CQ3" s="973" t="str">
        <f>H3</f>
        <v>2022 Fiscal Year As Adjusted</v>
      </c>
      <c r="CR3" s="974"/>
      <c r="CS3" s="974"/>
      <c r="CT3" s="975"/>
      <c r="CU3" s="101"/>
      <c r="CX3" s="117"/>
      <c r="CY3" s="122"/>
      <c r="CZ3" s="973" t="str">
        <f>CM3</f>
        <v>2022 Fiscal Year As Accepted</v>
      </c>
      <c r="DA3" s="975"/>
      <c r="DB3" s="973" t="str">
        <f>CQ3</f>
        <v>2022 Fiscal Year As Adjusted</v>
      </c>
      <c r="DC3" s="974"/>
      <c r="DD3" s="975"/>
      <c r="DH3" s="123"/>
      <c r="DI3" s="124"/>
      <c r="DJ3" s="973" t="str">
        <f>CZ3</f>
        <v>2022 Fiscal Year As Accepted</v>
      </c>
      <c r="DK3" s="975"/>
      <c r="DL3" s="973" t="str">
        <f>DB3</f>
        <v>2022 Fiscal Year As Adjusted</v>
      </c>
      <c r="DM3" s="975"/>
      <c r="DQ3" s="117"/>
      <c r="DR3" s="125"/>
      <c r="DS3" s="992" t="str">
        <f>CZ3</f>
        <v>2022 Fiscal Year As Accepted</v>
      </c>
      <c r="DT3" s="992"/>
      <c r="DU3" s="992"/>
      <c r="DV3" s="994"/>
      <c r="DW3" s="991" t="str">
        <f>DB3</f>
        <v>2022 Fiscal Year As Adjusted</v>
      </c>
      <c r="DX3" s="992"/>
      <c r="DY3" s="992"/>
      <c r="DZ3" s="994"/>
      <c r="EB3" s="126"/>
      <c r="ED3" s="117"/>
      <c r="EE3" s="117"/>
      <c r="EF3" s="991" t="str">
        <f>DS3</f>
        <v>2022 Fiscal Year As Accepted</v>
      </c>
      <c r="EG3" s="992"/>
      <c r="EH3" s="992"/>
      <c r="EI3" s="994"/>
      <c r="EJ3" s="991" t="str">
        <f>DW3</f>
        <v>2022 Fiscal Year As Adjusted</v>
      </c>
      <c r="EK3" s="992"/>
      <c r="EL3" s="992"/>
      <c r="EM3" s="994"/>
      <c r="EN3" s="101"/>
      <c r="EO3" s="127"/>
      <c r="EQ3" s="117"/>
      <c r="ER3" s="119"/>
      <c r="ES3" s="991" t="str">
        <f>EF3</f>
        <v>2022 Fiscal Year As Accepted</v>
      </c>
      <c r="ET3" s="992"/>
      <c r="EU3" s="992"/>
      <c r="EV3" s="994"/>
      <c r="EW3" s="991" t="str">
        <f>EJ3</f>
        <v>2022 Fiscal Year As Adjusted</v>
      </c>
      <c r="EX3" s="992"/>
      <c r="EY3" s="992"/>
      <c r="EZ3" s="994"/>
      <c r="FA3" s="991" t="s">
        <v>41</v>
      </c>
      <c r="FB3" s="992"/>
      <c r="FC3" s="994"/>
      <c r="FD3" s="101"/>
      <c r="FE3" s="127"/>
      <c r="FG3" s="117"/>
      <c r="FH3" s="117"/>
      <c r="FI3" s="117"/>
      <c r="FJ3" s="995" t="str">
        <f>EF3</f>
        <v>2022 Fiscal Year As Accepted</v>
      </c>
      <c r="FK3" s="996"/>
      <c r="FL3" s="996"/>
      <c r="FM3" s="997"/>
      <c r="FN3" s="995" t="str">
        <f>EJ3</f>
        <v>2022 Fiscal Year As Adjusted</v>
      </c>
      <c r="FO3" s="996"/>
      <c r="FP3" s="996"/>
      <c r="FQ3" s="996"/>
      <c r="FR3" s="997"/>
      <c r="FS3" s="93"/>
      <c r="FT3" s="95"/>
      <c r="FV3" s="116"/>
      <c r="FW3" s="117"/>
      <c r="FX3" s="973" t="str">
        <f>FJ3</f>
        <v>2022 Fiscal Year As Accepted</v>
      </c>
      <c r="FY3" s="974"/>
      <c r="FZ3" s="974"/>
      <c r="GA3" s="975"/>
      <c r="GB3" s="973" t="str">
        <f>FN3</f>
        <v>2022 Fiscal Year As Adjusted</v>
      </c>
      <c r="GC3" s="974"/>
      <c r="GD3" s="974"/>
      <c r="GE3" s="975"/>
      <c r="GF3" s="101"/>
      <c r="GG3" s="128"/>
      <c r="GI3" s="116"/>
      <c r="GJ3" s="117"/>
      <c r="GK3" s="973" t="str">
        <f>FX3</f>
        <v>2022 Fiscal Year As Accepted</v>
      </c>
      <c r="GL3" s="974"/>
      <c r="GM3" s="974"/>
      <c r="GN3" s="975"/>
      <c r="GO3" s="973" t="str">
        <f>GB3</f>
        <v>2022 Fiscal Year As Adjusted</v>
      </c>
      <c r="GP3" s="974"/>
      <c r="GQ3" s="974"/>
      <c r="GR3" s="974"/>
      <c r="GS3" s="101"/>
      <c r="GT3" s="128"/>
      <c r="GV3" s="116"/>
      <c r="GW3" s="117"/>
      <c r="GX3" s="995" t="str">
        <f>FJ3</f>
        <v>2022 Fiscal Year As Accepted</v>
      </c>
      <c r="GY3" s="996"/>
      <c r="GZ3" s="996"/>
      <c r="HA3" s="997"/>
      <c r="HB3" s="973" t="str">
        <f>FN3</f>
        <v>2022 Fiscal Year As Adjusted</v>
      </c>
      <c r="HC3" s="974"/>
      <c r="HD3" s="974"/>
      <c r="HE3" s="975"/>
      <c r="HF3" s="101"/>
      <c r="HG3" s="128"/>
      <c r="HI3" s="117"/>
      <c r="HJ3" s="117"/>
      <c r="HK3" s="970" t="str">
        <f>GX3</f>
        <v>2022 Fiscal Year As Accepted</v>
      </c>
      <c r="HL3" s="971"/>
      <c r="HM3" s="971"/>
      <c r="HN3" s="972"/>
      <c r="HO3" s="970" t="str">
        <f>HB3</f>
        <v>2022 Fiscal Year As Adjusted</v>
      </c>
      <c r="HP3" s="971"/>
      <c r="HQ3" s="971"/>
      <c r="HR3" s="972"/>
      <c r="HV3" s="101"/>
      <c r="HW3" s="129"/>
      <c r="HX3" s="130"/>
      <c r="HY3" s="130"/>
      <c r="HZ3" s="130"/>
      <c r="IA3" s="130"/>
      <c r="IB3" s="130"/>
      <c r="IC3" s="131"/>
      <c r="ID3" s="130"/>
      <c r="IE3" s="130"/>
      <c r="IF3" s="130"/>
      <c r="IG3" s="130"/>
      <c r="IH3" s="132"/>
      <c r="IJ3" s="132"/>
      <c r="IK3" s="897"/>
      <c r="IL3" s="133"/>
      <c r="IM3" s="133"/>
      <c r="IN3" s="966" t="s">
        <v>42</v>
      </c>
      <c r="IO3" s="967"/>
      <c r="IP3" s="966" t="s">
        <v>43</v>
      </c>
      <c r="IQ3" s="967"/>
      <c r="IR3" s="966" t="s">
        <v>44</v>
      </c>
      <c r="IS3" s="967"/>
      <c r="IT3" s="966" t="s">
        <v>45</v>
      </c>
      <c r="IU3" s="967"/>
      <c r="IV3" s="966" t="s">
        <v>46</v>
      </c>
      <c r="IW3" s="968"/>
      <c r="IX3" s="109"/>
      <c r="IY3" s="110"/>
      <c r="IZ3" s="109"/>
      <c r="JA3" s="117"/>
      <c r="JB3" s="134"/>
      <c r="JC3" s="134"/>
      <c r="JD3" s="134"/>
      <c r="JE3" s="978" t="s">
        <v>47</v>
      </c>
      <c r="JF3" s="979"/>
      <c r="JG3" s="978" t="s">
        <v>48</v>
      </c>
      <c r="JH3" s="979"/>
      <c r="JI3" s="978" t="s">
        <v>49</v>
      </c>
      <c r="JJ3" s="979"/>
      <c r="JK3" s="978" t="s">
        <v>50</v>
      </c>
      <c r="JL3" s="979"/>
      <c r="JM3" s="978" t="s">
        <v>51</v>
      </c>
      <c r="JN3" s="979"/>
      <c r="JO3" s="978" t="s">
        <v>52</v>
      </c>
      <c r="JP3" s="979"/>
      <c r="JQ3" s="978" t="s">
        <v>53</v>
      </c>
      <c r="JR3" s="979"/>
      <c r="JS3" s="978" t="s">
        <v>54</v>
      </c>
      <c r="JT3" s="979"/>
      <c r="JU3" s="978" t="s">
        <v>55</v>
      </c>
      <c r="JV3" s="980"/>
      <c r="JW3" s="980"/>
      <c r="JX3" s="132"/>
      <c r="JY3" s="135"/>
      <c r="JZ3" s="108"/>
      <c r="KA3" s="136"/>
      <c r="KB3" s="137"/>
      <c r="KC3" s="137"/>
      <c r="KD3" s="137"/>
      <c r="KE3" s="137"/>
      <c r="KF3" s="137"/>
      <c r="KG3" s="137"/>
      <c r="KH3" s="137"/>
      <c r="KI3" s="137"/>
      <c r="KJ3" s="137"/>
      <c r="KK3" s="109"/>
      <c r="KL3" s="110"/>
      <c r="KM3" s="138"/>
      <c r="KN3" s="139"/>
      <c r="KO3" s="133"/>
      <c r="KP3" s="133"/>
      <c r="KQ3" s="140"/>
      <c r="KR3" s="966" t="s">
        <v>42</v>
      </c>
      <c r="KS3" s="967"/>
      <c r="KT3" s="966" t="s">
        <v>43</v>
      </c>
      <c r="KU3" s="967"/>
      <c r="KV3" s="966" t="s">
        <v>56</v>
      </c>
      <c r="KW3" s="967"/>
      <c r="KX3" s="966" t="s">
        <v>57</v>
      </c>
      <c r="KY3" s="967"/>
      <c r="KZ3" s="966" t="s">
        <v>46</v>
      </c>
      <c r="LA3" s="968"/>
      <c r="LB3" s="138"/>
      <c r="LC3" s="141"/>
      <c r="LD3" s="138"/>
      <c r="LE3" s="142"/>
      <c r="LF3" s="133"/>
      <c r="LG3" s="133"/>
      <c r="LH3" s="133"/>
      <c r="LI3" s="966" t="s">
        <v>47</v>
      </c>
      <c r="LJ3" s="967"/>
      <c r="LK3" s="966" t="s">
        <v>58</v>
      </c>
      <c r="LL3" s="967"/>
      <c r="LM3" s="966" t="s">
        <v>49</v>
      </c>
      <c r="LN3" s="967"/>
      <c r="LO3" s="966" t="s">
        <v>50</v>
      </c>
      <c r="LP3" s="967"/>
      <c r="LQ3" s="966" t="s">
        <v>51</v>
      </c>
      <c r="LR3" s="967"/>
      <c r="LS3" s="966" t="s">
        <v>52</v>
      </c>
      <c r="LT3" s="967"/>
      <c r="LU3" s="966" t="s">
        <v>53</v>
      </c>
      <c r="LV3" s="967"/>
      <c r="LW3" s="966" t="s">
        <v>54</v>
      </c>
      <c r="LX3" s="967"/>
      <c r="LY3" s="966" t="s">
        <v>59</v>
      </c>
      <c r="LZ3" s="968"/>
      <c r="MA3" s="108"/>
      <c r="MB3" s="143"/>
      <c r="MD3" s="117"/>
      <c r="ME3" s="896"/>
      <c r="MF3" s="966" t="s">
        <v>46</v>
      </c>
      <c r="MG3" s="968"/>
      <c r="MH3" s="967"/>
      <c r="MI3" s="966" t="s">
        <v>60</v>
      </c>
      <c r="MJ3" s="968"/>
      <c r="MK3" s="967"/>
      <c r="ML3" s="966" t="s">
        <v>61</v>
      </c>
      <c r="MM3" s="968"/>
      <c r="MN3" s="967"/>
      <c r="MP3" s="95"/>
      <c r="MQ3" s="93"/>
      <c r="MR3" s="144"/>
      <c r="MS3" s="144"/>
      <c r="MT3" s="144"/>
      <c r="MU3" s="93"/>
      <c r="MV3" s="95"/>
      <c r="MW3" s="93"/>
      <c r="MX3" s="145"/>
      <c r="MY3" s="145"/>
      <c r="MZ3" s="114"/>
      <c r="NA3" s="114"/>
      <c r="NB3" s="114"/>
      <c r="NC3" s="114"/>
      <c r="ND3" s="114"/>
      <c r="NF3" s="95"/>
      <c r="NG3" s="93"/>
      <c r="NH3" s="145"/>
      <c r="NI3" s="114"/>
      <c r="NJ3" s="114"/>
      <c r="NK3" s="114"/>
      <c r="NL3" s="114"/>
      <c r="NM3" s="114"/>
      <c r="NO3" s="95"/>
      <c r="NP3" s="93"/>
    </row>
    <row r="4" spans="2:387" ht="49.5" customHeight="1" x14ac:dyDescent="0.3">
      <c r="B4" s="147"/>
      <c r="C4" s="148"/>
      <c r="D4" s="148"/>
      <c r="E4" s="148"/>
      <c r="F4" s="90" t="s">
        <v>62</v>
      </c>
      <c r="G4" s="149" t="s">
        <v>63</v>
      </c>
      <c r="H4" s="90" t="s">
        <v>62</v>
      </c>
      <c r="I4" s="150" t="s">
        <v>63</v>
      </c>
      <c r="J4" s="149" t="s">
        <v>64</v>
      </c>
      <c r="K4" s="90" t="s">
        <v>62</v>
      </c>
      <c r="L4" s="150" t="s">
        <v>63</v>
      </c>
      <c r="M4" s="149" t="s">
        <v>65</v>
      </c>
      <c r="N4" s="90" t="s">
        <v>62</v>
      </c>
      <c r="O4" s="150" t="s">
        <v>63</v>
      </c>
      <c r="P4" s="149" t="s">
        <v>66</v>
      </c>
      <c r="Q4" s="151" t="s">
        <v>67</v>
      </c>
      <c r="R4" s="150" t="s">
        <v>68</v>
      </c>
      <c r="S4" s="132"/>
      <c r="T4" s="152"/>
      <c r="U4" s="153"/>
      <c r="V4" s="154"/>
      <c r="W4" s="154"/>
      <c r="X4" s="155" t="s">
        <v>69</v>
      </c>
      <c r="Y4" s="155" t="s">
        <v>70</v>
      </c>
      <c r="Z4" s="155" t="s">
        <v>71</v>
      </c>
      <c r="AA4" s="155" t="s">
        <v>72</v>
      </c>
      <c r="AB4" s="156"/>
      <c r="AC4" s="146"/>
      <c r="AD4" s="152"/>
      <c r="AE4" s="146"/>
      <c r="AF4" s="148"/>
      <c r="AG4" s="148"/>
      <c r="AH4" s="147" t="str">
        <f>D14</f>
        <v>Direct Labour</v>
      </c>
      <c r="AI4" s="147" t="str">
        <f>D15</f>
        <v>Collector Labour</v>
      </c>
      <c r="AJ4" s="147" t="str">
        <f>D16</f>
        <v>Overhead Labour</v>
      </c>
      <c r="AK4" s="153"/>
      <c r="AL4" s="152"/>
      <c r="AM4" s="146"/>
      <c r="AN4" s="155"/>
      <c r="AO4" s="158"/>
      <c r="AP4" s="158"/>
      <c r="AQ4" s="158"/>
      <c r="AR4" s="158"/>
      <c r="AS4" s="159" t="s">
        <v>62</v>
      </c>
      <c r="AT4" s="160" t="s">
        <v>73</v>
      </c>
      <c r="AU4" s="155"/>
      <c r="AV4" s="159" t="s">
        <v>62</v>
      </c>
      <c r="AW4" s="160" t="s">
        <v>73</v>
      </c>
      <c r="AX4" s="160" t="s">
        <v>74</v>
      </c>
      <c r="AY4" s="155"/>
      <c r="AZ4" s="159" t="s">
        <v>62</v>
      </c>
      <c r="BA4" s="160" t="s">
        <v>73</v>
      </c>
      <c r="BB4" s="160" t="s">
        <v>74</v>
      </c>
      <c r="BC4" s="155"/>
      <c r="BD4" s="159" t="s">
        <v>62</v>
      </c>
      <c r="BE4" s="160" t="s">
        <v>73</v>
      </c>
      <c r="BF4" s="160" t="s">
        <v>74</v>
      </c>
      <c r="BG4" s="155"/>
      <c r="BH4" s="159" t="s">
        <v>62</v>
      </c>
      <c r="BI4" s="160" t="s">
        <v>73</v>
      </c>
      <c r="BJ4" s="160" t="s">
        <v>74</v>
      </c>
      <c r="BK4" s="155"/>
      <c r="BL4" s="159" t="s">
        <v>62</v>
      </c>
      <c r="BM4" s="160" t="s">
        <v>73</v>
      </c>
      <c r="BN4" s="160" t="s">
        <v>74</v>
      </c>
      <c r="BO4" s="155"/>
      <c r="BP4" s="159" t="s">
        <v>62</v>
      </c>
      <c r="BQ4" s="160" t="s">
        <v>73</v>
      </c>
      <c r="BR4" s="160" t="s">
        <v>74</v>
      </c>
      <c r="BS4" s="155"/>
      <c r="BT4" s="159" t="s">
        <v>62</v>
      </c>
      <c r="BU4" s="160" t="s">
        <v>73</v>
      </c>
      <c r="BV4" s="160" t="s">
        <v>75</v>
      </c>
      <c r="BW4" s="159" t="s">
        <v>62</v>
      </c>
      <c r="BX4" s="160" t="s">
        <v>73</v>
      </c>
      <c r="BY4" s="160" t="s">
        <v>75</v>
      </c>
      <c r="BZ4" s="159" t="s">
        <v>62</v>
      </c>
      <c r="CA4" s="160" t="s">
        <v>73</v>
      </c>
      <c r="CB4" s="160" t="s">
        <v>75</v>
      </c>
      <c r="CC4" s="159" t="s">
        <v>62</v>
      </c>
      <c r="CD4" s="160" t="s">
        <v>73</v>
      </c>
      <c r="CE4" s="160" t="s">
        <v>75</v>
      </c>
      <c r="CF4" s="161" t="s">
        <v>76</v>
      </c>
      <c r="CG4" s="160" t="s">
        <v>77</v>
      </c>
      <c r="CH4" s="146"/>
      <c r="CI4" s="157"/>
      <c r="CJ4" s="146"/>
      <c r="CK4" s="162"/>
      <c r="CL4" s="163"/>
      <c r="CM4" s="164" t="s">
        <v>78</v>
      </c>
      <c r="CN4" s="165" t="s">
        <v>79</v>
      </c>
      <c r="CO4" s="147" t="s">
        <v>80</v>
      </c>
      <c r="CP4" s="166" t="s">
        <v>72</v>
      </c>
      <c r="CQ4" s="164" t="s">
        <v>78</v>
      </c>
      <c r="CR4" s="165" t="s">
        <v>79</v>
      </c>
      <c r="CS4" s="147" t="s">
        <v>80</v>
      </c>
      <c r="CT4" s="166" t="s">
        <v>72</v>
      </c>
      <c r="CU4" s="167"/>
      <c r="CV4" s="157"/>
      <c r="CW4" s="146"/>
      <c r="CX4" s="147"/>
      <c r="CY4" s="165" t="s">
        <v>81</v>
      </c>
      <c r="CZ4" s="164" t="s">
        <v>82</v>
      </c>
      <c r="DA4" s="168" t="s">
        <v>83</v>
      </c>
      <c r="DB4" s="164" t="s">
        <v>82</v>
      </c>
      <c r="DC4" s="169" t="s">
        <v>83</v>
      </c>
      <c r="DD4" s="170" t="s">
        <v>84</v>
      </c>
      <c r="DE4" s="146"/>
      <c r="DF4" s="157"/>
      <c r="DG4" s="146"/>
      <c r="DH4" s="147"/>
      <c r="DI4" s="165" t="s">
        <v>81</v>
      </c>
      <c r="DJ4" s="164" t="s">
        <v>82</v>
      </c>
      <c r="DK4" s="168" t="s">
        <v>83</v>
      </c>
      <c r="DL4" s="164" t="s">
        <v>82</v>
      </c>
      <c r="DM4" s="168" t="s">
        <v>83</v>
      </c>
      <c r="DN4" s="146"/>
      <c r="DO4" s="157"/>
      <c r="DP4" s="146"/>
      <c r="DQ4" s="147"/>
      <c r="DR4" s="171"/>
      <c r="DS4" s="147" t="s">
        <v>69</v>
      </c>
      <c r="DT4" s="147" t="s">
        <v>70</v>
      </c>
      <c r="DU4" s="147" t="s">
        <v>71</v>
      </c>
      <c r="DV4" s="172" t="s">
        <v>72</v>
      </c>
      <c r="DW4" s="164" t="s">
        <v>69</v>
      </c>
      <c r="DX4" s="147" t="s">
        <v>70</v>
      </c>
      <c r="DY4" s="147" t="s">
        <v>71</v>
      </c>
      <c r="DZ4" s="173" t="s">
        <v>72</v>
      </c>
      <c r="EA4" s="174"/>
      <c r="EB4" s="157"/>
      <c r="EC4" s="146"/>
      <c r="ED4" s="148"/>
      <c r="EE4" s="148"/>
      <c r="EF4" s="175" t="s">
        <v>69</v>
      </c>
      <c r="EG4" s="176" t="s">
        <v>70</v>
      </c>
      <c r="EH4" s="176" t="s">
        <v>71</v>
      </c>
      <c r="EI4" s="177" t="s">
        <v>72</v>
      </c>
      <c r="EJ4" s="175" t="s">
        <v>69</v>
      </c>
      <c r="EK4" s="176" t="s">
        <v>70</v>
      </c>
      <c r="EL4" s="176" t="s">
        <v>71</v>
      </c>
      <c r="EM4" s="177" t="s">
        <v>72</v>
      </c>
      <c r="EN4" s="178"/>
      <c r="EO4" s="179"/>
      <c r="EP4" s="146"/>
      <c r="EQ4" s="148"/>
      <c r="ER4" s="180"/>
      <c r="ES4" s="176" t="s">
        <v>69</v>
      </c>
      <c r="ET4" s="176" t="s">
        <v>70</v>
      </c>
      <c r="EU4" s="176" t="s">
        <v>71</v>
      </c>
      <c r="EV4" s="177" t="s">
        <v>72</v>
      </c>
      <c r="EW4" s="176" t="s">
        <v>69</v>
      </c>
      <c r="EX4" s="176" t="s">
        <v>70</v>
      </c>
      <c r="EY4" s="176" t="s">
        <v>71</v>
      </c>
      <c r="EZ4" s="177" t="s">
        <v>72</v>
      </c>
      <c r="FA4" s="181" t="s">
        <v>85</v>
      </c>
      <c r="FB4" s="181" t="s">
        <v>86</v>
      </c>
      <c r="FC4" s="182" t="s">
        <v>87</v>
      </c>
      <c r="FD4" s="178"/>
      <c r="FE4" s="179"/>
      <c r="FF4" s="146"/>
      <c r="FG4" s="158"/>
      <c r="FH4" s="158"/>
      <c r="FI4" s="183"/>
      <c r="FJ4" s="164" t="s">
        <v>69</v>
      </c>
      <c r="FK4" s="147" t="s">
        <v>70</v>
      </c>
      <c r="FL4" s="147" t="s">
        <v>71</v>
      </c>
      <c r="FM4" s="184" t="s">
        <v>72</v>
      </c>
      <c r="FN4" s="164" t="str">
        <f>FJ4</f>
        <v>Small</v>
      </c>
      <c r="FO4" s="147" t="s">
        <v>70</v>
      </c>
      <c r="FP4" s="147" t="str">
        <f>FL4</f>
        <v>Large</v>
      </c>
      <c r="FQ4" s="147" t="s">
        <v>72</v>
      </c>
      <c r="FR4" s="166" t="s">
        <v>88</v>
      </c>
      <c r="FS4" s="185"/>
      <c r="FT4" s="186"/>
      <c r="FU4" s="146"/>
      <c r="FV4" s="155"/>
      <c r="FW4" s="187"/>
      <c r="FX4" s="147" t="s">
        <v>69</v>
      </c>
      <c r="FY4" s="147" t="s">
        <v>70</v>
      </c>
      <c r="FZ4" s="147" t="s">
        <v>71</v>
      </c>
      <c r="GA4" s="184" t="s">
        <v>89</v>
      </c>
      <c r="GB4" s="147" t="s">
        <v>69</v>
      </c>
      <c r="GC4" s="147" t="s">
        <v>70</v>
      </c>
      <c r="GD4" s="147" t="s">
        <v>71</v>
      </c>
      <c r="GE4" s="184" t="s">
        <v>89</v>
      </c>
      <c r="GF4" s="188"/>
      <c r="GG4" s="189"/>
      <c r="GH4" s="146"/>
      <c r="GI4" s="155"/>
      <c r="GJ4" s="187"/>
      <c r="GK4" s="147" t="s">
        <v>69</v>
      </c>
      <c r="GL4" s="147" t="s">
        <v>70</v>
      </c>
      <c r="GM4" s="147" t="s">
        <v>71</v>
      </c>
      <c r="GN4" s="184" t="s">
        <v>89</v>
      </c>
      <c r="GO4" s="147" t="s">
        <v>69</v>
      </c>
      <c r="GP4" s="147" t="s">
        <v>70</v>
      </c>
      <c r="GQ4" s="147" t="s">
        <v>71</v>
      </c>
      <c r="GR4" s="184" t="s">
        <v>89</v>
      </c>
      <c r="GS4" s="188"/>
      <c r="GT4" s="189"/>
      <c r="GU4" s="146"/>
      <c r="GV4" s="155"/>
      <c r="GW4" s="187"/>
      <c r="GX4" s="147" t="s">
        <v>69</v>
      </c>
      <c r="GY4" s="147" t="s">
        <v>70</v>
      </c>
      <c r="GZ4" s="147" t="s">
        <v>71</v>
      </c>
      <c r="HA4" s="184" t="s">
        <v>89</v>
      </c>
      <c r="HB4" s="164" t="s">
        <v>69</v>
      </c>
      <c r="HC4" s="147" t="s">
        <v>70</v>
      </c>
      <c r="HD4" s="147" t="s">
        <v>71</v>
      </c>
      <c r="HE4" s="184" t="s">
        <v>89</v>
      </c>
      <c r="HF4" s="188"/>
      <c r="HG4" s="189"/>
      <c r="HH4" s="146"/>
      <c r="HI4" s="155"/>
      <c r="HJ4" s="183"/>
      <c r="HK4" s="164" t="s">
        <v>69</v>
      </c>
      <c r="HL4" s="147" t="s">
        <v>70</v>
      </c>
      <c r="HM4" s="147" t="s">
        <v>71</v>
      </c>
      <c r="HN4" s="184" t="s">
        <v>72</v>
      </c>
      <c r="HO4" s="164" t="s">
        <v>69</v>
      </c>
      <c r="HP4" s="147" t="s">
        <v>70</v>
      </c>
      <c r="HQ4" s="147" t="s">
        <v>71</v>
      </c>
      <c r="HR4" s="184" t="s">
        <v>72</v>
      </c>
      <c r="HS4" s="146"/>
      <c r="HT4" s="157"/>
      <c r="HU4" s="146"/>
      <c r="HV4" s="146"/>
      <c r="HW4" s="190"/>
      <c r="HX4" s="160" t="s">
        <v>90</v>
      </c>
      <c r="HY4" s="160" t="s">
        <v>91</v>
      </c>
      <c r="HZ4" s="160" t="s">
        <v>92</v>
      </c>
      <c r="IA4" s="191" t="s">
        <v>93</v>
      </c>
      <c r="IB4" s="192" t="s">
        <v>94</v>
      </c>
      <c r="IC4" s="192" t="s">
        <v>95</v>
      </c>
      <c r="ID4" s="192" t="s">
        <v>96</v>
      </c>
      <c r="IE4" s="192" t="s">
        <v>97</v>
      </c>
      <c r="IF4" s="192" t="s">
        <v>98</v>
      </c>
      <c r="IG4" s="192" t="s">
        <v>99</v>
      </c>
      <c r="IH4" s="138"/>
      <c r="II4" s="186"/>
      <c r="IJ4" s="138"/>
      <c r="IK4" s="160"/>
      <c r="IL4" s="193" t="s">
        <v>90</v>
      </c>
      <c r="IM4" s="194" t="str">
        <f>ID4</f>
        <v>Volume Ratio</v>
      </c>
      <c r="IN4" s="195" t="s">
        <v>100</v>
      </c>
      <c r="IO4" s="170" t="s">
        <v>101</v>
      </c>
      <c r="IP4" s="195" t="str">
        <f>JQ4</f>
        <v>Study System</v>
      </c>
      <c r="IQ4" s="170" t="s">
        <v>102</v>
      </c>
      <c r="IR4" s="195" t="str">
        <f>IP4</f>
        <v>Study System</v>
      </c>
      <c r="IS4" s="170" t="s">
        <v>102</v>
      </c>
      <c r="IT4" s="195" t="str">
        <f>IR4</f>
        <v>Study System</v>
      </c>
      <c r="IU4" s="170" t="s">
        <v>102</v>
      </c>
      <c r="IV4" s="195" t="s">
        <v>103</v>
      </c>
      <c r="IW4" s="196" t="s">
        <v>104</v>
      </c>
      <c r="IX4" s="197"/>
      <c r="IY4" s="198"/>
      <c r="IZ4" s="197"/>
      <c r="JA4" s="171"/>
      <c r="JB4" s="199" t="s">
        <v>90</v>
      </c>
      <c r="JC4" s="200" t="s">
        <v>95</v>
      </c>
      <c r="JD4" s="200" t="s">
        <v>96</v>
      </c>
      <c r="JE4" s="171" t="str">
        <f>IN4</f>
        <v>Study System</v>
      </c>
      <c r="JF4" s="201" t="s">
        <v>105</v>
      </c>
      <c r="JG4" s="202" t="str">
        <f>JE4</f>
        <v>Study System</v>
      </c>
      <c r="JH4" s="201" t="s">
        <v>106</v>
      </c>
      <c r="JI4" s="202" t="str">
        <f>JE4</f>
        <v>Study System</v>
      </c>
      <c r="JJ4" s="201" t="s">
        <v>107</v>
      </c>
      <c r="JK4" s="202" t="str">
        <f>JI4</f>
        <v>Study System</v>
      </c>
      <c r="JL4" s="201" t="s">
        <v>108</v>
      </c>
      <c r="JM4" s="202" t="str">
        <f>JK4</f>
        <v>Study System</v>
      </c>
      <c r="JN4" s="201" t="s">
        <v>109</v>
      </c>
      <c r="JO4" s="202" t="str">
        <f>JM4</f>
        <v>Study System</v>
      </c>
      <c r="JP4" s="201" t="s">
        <v>110</v>
      </c>
      <c r="JQ4" s="202" t="str">
        <f>JK4</f>
        <v>Study System</v>
      </c>
      <c r="JR4" s="201" t="s">
        <v>111</v>
      </c>
      <c r="JS4" s="202" t="str">
        <f>JQ4</f>
        <v>Study System</v>
      </c>
      <c r="JT4" s="201" t="s">
        <v>112</v>
      </c>
      <c r="JU4" s="202" t="s">
        <v>113</v>
      </c>
      <c r="JV4" s="203" t="s">
        <v>114</v>
      </c>
      <c r="JW4" s="203" t="s">
        <v>115</v>
      </c>
      <c r="JX4" s="197"/>
      <c r="JY4" s="198"/>
      <c r="JZ4" s="204"/>
      <c r="KA4" s="205"/>
      <c r="KB4" s="150" t="s">
        <v>90</v>
      </c>
      <c r="KC4" s="206" t="s">
        <v>116</v>
      </c>
      <c r="KD4" s="206" t="s">
        <v>117</v>
      </c>
      <c r="KE4" s="206" t="s">
        <v>118</v>
      </c>
      <c r="KF4" s="206" t="s">
        <v>119</v>
      </c>
      <c r="KG4" s="206" t="s">
        <v>95</v>
      </c>
      <c r="KH4" s="206" t="s">
        <v>96</v>
      </c>
      <c r="KI4" s="150" t="s">
        <v>120</v>
      </c>
      <c r="KJ4" s="206" t="s">
        <v>121</v>
      </c>
      <c r="KK4" s="138"/>
      <c r="KL4" s="141"/>
      <c r="KM4" s="207"/>
      <c r="KN4" s="160"/>
      <c r="KO4" s="161" t="s">
        <v>90</v>
      </c>
      <c r="KP4" s="194" t="str">
        <f>KJ4</f>
        <v>FY Quarter</v>
      </c>
      <c r="KQ4" s="194" t="str">
        <f>KI4</f>
        <v>Total System Ratio</v>
      </c>
      <c r="KR4" s="195" t="s">
        <v>27</v>
      </c>
      <c r="KS4" s="170" t="s">
        <v>122</v>
      </c>
      <c r="KT4" s="195" t="s">
        <v>27</v>
      </c>
      <c r="KU4" s="170" t="str">
        <f>LV4</f>
        <v>Target Year</v>
      </c>
      <c r="KV4" s="195" t="str">
        <f>KT4</f>
        <v>Total System</v>
      </c>
      <c r="KW4" s="170" t="str">
        <f>KU4</f>
        <v>Target Year</v>
      </c>
      <c r="KX4" s="196" t="s">
        <v>27</v>
      </c>
      <c r="KY4" s="196" t="s">
        <v>122</v>
      </c>
      <c r="KZ4" s="195" t="s">
        <v>123</v>
      </c>
      <c r="LA4" s="196" t="s">
        <v>124</v>
      </c>
      <c r="LB4" s="207"/>
      <c r="LC4" s="208"/>
      <c r="LD4" s="207"/>
      <c r="LE4" s="171"/>
      <c r="LF4" s="193" t="s">
        <v>125</v>
      </c>
      <c r="LG4" s="209" t="s">
        <v>95</v>
      </c>
      <c r="LH4" s="194" t="s">
        <v>96</v>
      </c>
      <c r="LI4" s="195" t="s">
        <v>126</v>
      </c>
      <c r="LJ4" s="170" t="s">
        <v>122</v>
      </c>
      <c r="LK4" s="195" t="s">
        <v>126</v>
      </c>
      <c r="LL4" s="170" t="str">
        <f>LJ4</f>
        <v>Target Year</v>
      </c>
      <c r="LM4" s="195" t="s">
        <v>126</v>
      </c>
      <c r="LN4" s="170" t="str">
        <f>LL4</f>
        <v>Target Year</v>
      </c>
      <c r="LO4" s="195" t="s">
        <v>126</v>
      </c>
      <c r="LP4" s="170" t="str">
        <f>LN4</f>
        <v>Target Year</v>
      </c>
      <c r="LQ4" s="195" t="s">
        <v>127</v>
      </c>
      <c r="LR4" s="170" t="str">
        <f>LN4</f>
        <v>Target Year</v>
      </c>
      <c r="LS4" s="195" t="s">
        <v>127</v>
      </c>
      <c r="LT4" s="170" t="str">
        <f>LP4</f>
        <v>Target Year</v>
      </c>
      <c r="LU4" s="195" t="s">
        <v>127</v>
      </c>
      <c r="LV4" s="170" t="str">
        <f>LP4</f>
        <v>Target Year</v>
      </c>
      <c r="LW4" s="195" t="s">
        <v>127</v>
      </c>
      <c r="LX4" s="170" t="str">
        <f>LV4</f>
        <v>Target Year</v>
      </c>
      <c r="LY4" s="195" t="s">
        <v>27</v>
      </c>
      <c r="LZ4" s="196" t="s">
        <v>442</v>
      </c>
      <c r="MA4" s="210"/>
      <c r="MB4" s="211"/>
      <c r="MC4" s="153"/>
      <c r="MD4" s="171"/>
      <c r="ME4" s="165" t="s">
        <v>90</v>
      </c>
      <c r="MF4" s="195" t="s">
        <v>100</v>
      </c>
      <c r="MG4" s="165" t="s">
        <v>27</v>
      </c>
      <c r="MH4" s="170" t="s">
        <v>122</v>
      </c>
      <c r="MI4" s="195" t="s">
        <v>100</v>
      </c>
      <c r="MJ4" s="165" t="s">
        <v>27</v>
      </c>
      <c r="MK4" s="170" t="s">
        <v>122</v>
      </c>
      <c r="ML4" s="195" t="s">
        <v>100</v>
      </c>
      <c r="MM4" s="165" t="s">
        <v>27</v>
      </c>
      <c r="MN4" s="170" t="s">
        <v>122</v>
      </c>
      <c r="MO4" s="146"/>
      <c r="MP4" s="157"/>
      <c r="MQ4" s="146"/>
      <c r="MR4" s="165"/>
      <c r="MS4" s="165" t="s">
        <v>128</v>
      </c>
      <c r="MT4" s="165" t="s">
        <v>129</v>
      </c>
      <c r="MU4" s="146"/>
      <c r="MV4" s="157"/>
      <c r="MW4" s="146"/>
      <c r="MX4" s="147"/>
      <c r="MY4" s="148"/>
      <c r="MZ4" s="983" t="s">
        <v>130</v>
      </c>
      <c r="NA4" s="983"/>
      <c r="NB4" s="898"/>
      <c r="NC4" s="982" t="s">
        <v>131</v>
      </c>
      <c r="ND4" s="983"/>
      <c r="NE4" s="146"/>
      <c r="NF4" s="157"/>
      <c r="NG4" s="146"/>
      <c r="NH4" s="147"/>
      <c r="NI4" s="212"/>
      <c r="NJ4" s="898" t="s">
        <v>132</v>
      </c>
      <c r="NK4" s="212" t="s">
        <v>133</v>
      </c>
      <c r="NL4" s="898" t="s">
        <v>134</v>
      </c>
      <c r="NM4" s="898" t="s">
        <v>134</v>
      </c>
      <c r="NN4" s="146"/>
      <c r="NO4" s="157"/>
      <c r="NP4" s="146"/>
      <c r="NQ4" s="213"/>
      <c r="NR4" s="213"/>
      <c r="NS4" s="213"/>
      <c r="NT4" s="213"/>
      <c r="NU4" s="213"/>
      <c r="NV4" s="213"/>
      <c r="NW4" s="213"/>
    </row>
    <row r="5" spans="2:387" ht="21" customHeight="1" x14ac:dyDescent="0.3">
      <c r="B5" s="215" t="s">
        <v>135</v>
      </c>
      <c r="C5" s="216"/>
      <c r="D5" s="217"/>
      <c r="E5" s="218"/>
      <c r="F5" s="219" t="s">
        <v>136</v>
      </c>
      <c r="G5" s="220" t="s">
        <v>137</v>
      </c>
      <c r="H5" s="221" t="s">
        <v>138</v>
      </c>
      <c r="I5" s="215" t="s">
        <v>139</v>
      </c>
      <c r="J5" s="220" t="s">
        <v>140</v>
      </c>
      <c r="K5" s="219" t="s">
        <v>141</v>
      </c>
      <c r="L5" s="222" t="s">
        <v>142</v>
      </c>
      <c r="M5" s="220" t="s">
        <v>143</v>
      </c>
      <c r="N5" s="219" t="s">
        <v>144</v>
      </c>
      <c r="O5" s="222" t="s">
        <v>145</v>
      </c>
      <c r="P5" s="220" t="s">
        <v>146</v>
      </c>
      <c r="Q5" s="223" t="s">
        <v>147</v>
      </c>
      <c r="R5" s="215" t="s">
        <v>148</v>
      </c>
      <c r="S5" s="224"/>
      <c r="T5" s="225"/>
      <c r="U5" s="214"/>
      <c r="V5" s="226" t="s">
        <v>135</v>
      </c>
      <c r="W5" s="227" t="s">
        <v>136</v>
      </c>
      <c r="X5" s="226" t="s">
        <v>137</v>
      </c>
      <c r="Y5" s="228" t="s">
        <v>149</v>
      </c>
      <c r="Z5" s="226" t="s">
        <v>139</v>
      </c>
      <c r="AA5" s="226" t="s">
        <v>140</v>
      </c>
      <c r="AB5" s="207"/>
      <c r="AC5" s="229"/>
      <c r="AD5" s="225"/>
      <c r="AE5" s="214"/>
      <c r="AF5" s="226" t="s">
        <v>135</v>
      </c>
      <c r="AG5" s="227" t="s">
        <v>136</v>
      </c>
      <c r="AH5" s="226" t="s">
        <v>137</v>
      </c>
      <c r="AI5" s="228" t="s">
        <v>149</v>
      </c>
      <c r="AJ5" s="226" t="s">
        <v>139</v>
      </c>
      <c r="AK5" s="214"/>
      <c r="AL5" s="230"/>
      <c r="AM5" s="214"/>
      <c r="AN5" s="226" t="s">
        <v>135</v>
      </c>
      <c r="AO5" s="231"/>
      <c r="AP5" s="232"/>
      <c r="AQ5" s="232"/>
      <c r="AR5" s="233"/>
      <c r="AS5" s="226" t="s">
        <v>136</v>
      </c>
      <c r="AT5" s="226" t="s">
        <v>137</v>
      </c>
      <c r="AU5" s="226"/>
      <c r="AV5" s="226">
        <v>0</v>
      </c>
      <c r="AW5" s="226" t="s">
        <v>137</v>
      </c>
      <c r="AX5" s="226" t="s">
        <v>149</v>
      </c>
      <c r="AY5" s="226"/>
      <c r="AZ5" s="226" t="s">
        <v>139</v>
      </c>
      <c r="BA5" s="226" t="s">
        <v>140</v>
      </c>
      <c r="BB5" s="226" t="s">
        <v>141</v>
      </c>
      <c r="BC5" s="226"/>
      <c r="BD5" s="226" t="s">
        <v>142</v>
      </c>
      <c r="BE5" s="226" t="s">
        <v>143</v>
      </c>
      <c r="BF5" s="226" t="s">
        <v>144</v>
      </c>
      <c r="BG5" s="226"/>
      <c r="BH5" s="226" t="s">
        <v>145</v>
      </c>
      <c r="BI5" s="226" t="s">
        <v>146</v>
      </c>
      <c r="BJ5" s="226" t="s">
        <v>147</v>
      </c>
      <c r="BK5" s="226"/>
      <c r="BL5" s="226" t="s">
        <v>148</v>
      </c>
      <c r="BM5" s="226" t="s">
        <v>150</v>
      </c>
      <c r="BN5" s="226" t="s">
        <v>151</v>
      </c>
      <c r="BO5" s="226"/>
      <c r="BP5" s="226" t="s">
        <v>152</v>
      </c>
      <c r="BQ5" s="226" t="s">
        <v>153</v>
      </c>
      <c r="BR5" s="226" t="s">
        <v>154</v>
      </c>
      <c r="BS5" s="226"/>
      <c r="BT5" s="226" t="s">
        <v>155</v>
      </c>
      <c r="BU5" s="226" t="s">
        <v>156</v>
      </c>
      <c r="BV5" s="226" t="s">
        <v>157</v>
      </c>
      <c r="BW5" s="227" t="s">
        <v>136</v>
      </c>
      <c r="BX5" s="226" t="s">
        <v>137</v>
      </c>
      <c r="BY5" s="226" t="s">
        <v>138</v>
      </c>
      <c r="BZ5" s="227" t="s">
        <v>136</v>
      </c>
      <c r="CA5" s="226" t="s">
        <v>137</v>
      </c>
      <c r="CB5" s="226" t="s">
        <v>138</v>
      </c>
      <c r="CC5" s="234" t="s">
        <v>139</v>
      </c>
      <c r="CD5" s="226" t="s">
        <v>140</v>
      </c>
      <c r="CE5" s="226" t="s">
        <v>141</v>
      </c>
      <c r="CF5" s="235" t="s">
        <v>142</v>
      </c>
      <c r="CG5" s="226" t="s">
        <v>143</v>
      </c>
      <c r="CH5" s="214"/>
      <c r="CI5" s="225"/>
      <c r="CJ5" s="214"/>
      <c r="CK5" s="226" t="s">
        <v>135</v>
      </c>
      <c r="CL5" s="236"/>
      <c r="CM5" s="226" t="s">
        <v>136</v>
      </c>
      <c r="CN5" s="226" t="s">
        <v>137</v>
      </c>
      <c r="CO5" s="226" t="s">
        <v>149</v>
      </c>
      <c r="CP5" s="237" t="s">
        <v>139</v>
      </c>
      <c r="CQ5" s="226" t="s">
        <v>140</v>
      </c>
      <c r="CR5" s="226" t="s">
        <v>141</v>
      </c>
      <c r="CS5" s="226" t="s">
        <v>142</v>
      </c>
      <c r="CT5" s="226" t="s">
        <v>143</v>
      </c>
      <c r="CU5" s="238"/>
      <c r="CV5" s="186"/>
      <c r="CW5" s="214"/>
      <c r="CX5" s="226" t="s">
        <v>135</v>
      </c>
      <c r="CY5" s="239"/>
      <c r="CZ5" s="226" t="s">
        <v>136</v>
      </c>
      <c r="DA5" s="240" t="s">
        <v>137</v>
      </c>
      <c r="DB5" s="226" t="s">
        <v>149</v>
      </c>
      <c r="DC5" s="241" t="s">
        <v>139</v>
      </c>
      <c r="DD5" s="241" t="s">
        <v>140</v>
      </c>
      <c r="DE5" s="214"/>
      <c r="DF5" s="186"/>
      <c r="DG5" s="214"/>
      <c r="DH5" s="226" t="s">
        <v>135</v>
      </c>
      <c r="DI5" s="239"/>
      <c r="DJ5" s="226" t="s">
        <v>136</v>
      </c>
      <c r="DK5" s="240" t="s">
        <v>137</v>
      </c>
      <c r="DL5" s="226" t="s">
        <v>149</v>
      </c>
      <c r="DM5" s="241" t="s">
        <v>139</v>
      </c>
      <c r="DN5" s="214"/>
      <c r="DO5" s="225"/>
      <c r="DP5" s="214"/>
      <c r="DQ5" s="226" t="s">
        <v>135</v>
      </c>
      <c r="DR5" s="242"/>
      <c r="DS5" s="241" t="s">
        <v>136</v>
      </c>
      <c r="DT5" s="241" t="s">
        <v>137</v>
      </c>
      <c r="DU5" s="241" t="s">
        <v>149</v>
      </c>
      <c r="DV5" s="241" t="s">
        <v>139</v>
      </c>
      <c r="DW5" s="243" t="s">
        <v>140</v>
      </c>
      <c r="DX5" s="241" t="s">
        <v>141</v>
      </c>
      <c r="DY5" s="241" t="s">
        <v>142</v>
      </c>
      <c r="DZ5" s="241" t="s">
        <v>143</v>
      </c>
      <c r="EA5" s="214"/>
      <c r="EB5" s="225"/>
      <c r="EC5" s="214"/>
      <c r="ED5" s="226" t="s">
        <v>135</v>
      </c>
      <c r="EE5" s="236"/>
      <c r="EF5" s="226" t="s">
        <v>136</v>
      </c>
      <c r="EG5" s="226" t="s">
        <v>137</v>
      </c>
      <c r="EH5" s="226" t="s">
        <v>149</v>
      </c>
      <c r="EI5" s="237" t="s">
        <v>139</v>
      </c>
      <c r="EJ5" s="226" t="s">
        <v>140</v>
      </c>
      <c r="EK5" s="226" t="s">
        <v>141</v>
      </c>
      <c r="EL5" s="226" t="s">
        <v>142</v>
      </c>
      <c r="EM5" s="226" t="s">
        <v>143</v>
      </c>
      <c r="EN5" s="244"/>
      <c r="EO5" s="245"/>
      <c r="EP5" s="214"/>
      <c r="EQ5" s="226" t="s">
        <v>135</v>
      </c>
      <c r="ER5" s="236"/>
      <c r="ES5" s="226" t="s">
        <v>136</v>
      </c>
      <c r="ET5" s="226" t="s">
        <v>137</v>
      </c>
      <c r="EU5" s="226" t="s">
        <v>149</v>
      </c>
      <c r="EV5" s="237" t="s">
        <v>139</v>
      </c>
      <c r="EW5" s="226" t="s">
        <v>140</v>
      </c>
      <c r="EX5" s="226" t="s">
        <v>141</v>
      </c>
      <c r="EY5" s="226" t="s">
        <v>142</v>
      </c>
      <c r="EZ5" s="237" t="s">
        <v>143</v>
      </c>
      <c r="FA5" s="226" t="s">
        <v>144</v>
      </c>
      <c r="FB5" s="226" t="s">
        <v>145</v>
      </c>
      <c r="FC5" s="226" t="s">
        <v>146</v>
      </c>
      <c r="FD5" s="244"/>
      <c r="FE5" s="245"/>
      <c r="FF5" s="214"/>
      <c r="FG5" s="226" t="s">
        <v>135</v>
      </c>
      <c r="FH5" s="232"/>
      <c r="FI5" s="246"/>
      <c r="FJ5" s="226" t="s">
        <v>136</v>
      </c>
      <c r="FK5" s="226" t="s">
        <v>137</v>
      </c>
      <c r="FL5" s="226" t="s">
        <v>149</v>
      </c>
      <c r="FM5" s="237" t="s">
        <v>139</v>
      </c>
      <c r="FN5" s="226" t="s">
        <v>140</v>
      </c>
      <c r="FO5" s="226" t="s">
        <v>141</v>
      </c>
      <c r="FP5" s="226" t="s">
        <v>142</v>
      </c>
      <c r="FQ5" s="226" t="s">
        <v>143</v>
      </c>
      <c r="FR5" s="226" t="s">
        <v>144</v>
      </c>
      <c r="FS5" s="244"/>
      <c r="FT5" s="186"/>
      <c r="FU5" s="214"/>
      <c r="FV5" s="226" t="s">
        <v>135</v>
      </c>
      <c r="FW5" s="247"/>
      <c r="FX5" s="226" t="s">
        <v>136</v>
      </c>
      <c r="FY5" s="226" t="s">
        <v>137</v>
      </c>
      <c r="FZ5" s="226" t="s">
        <v>149</v>
      </c>
      <c r="GA5" s="237" t="s">
        <v>139</v>
      </c>
      <c r="GB5" s="226" t="s">
        <v>140</v>
      </c>
      <c r="GC5" s="226" t="s">
        <v>141</v>
      </c>
      <c r="GD5" s="226" t="s">
        <v>142</v>
      </c>
      <c r="GE5" s="226" t="s">
        <v>143</v>
      </c>
      <c r="GF5" s="248"/>
      <c r="GG5" s="225"/>
      <c r="GH5" s="214"/>
      <c r="GI5" s="226" t="s">
        <v>135</v>
      </c>
      <c r="GJ5" s="247"/>
      <c r="GK5" s="226" t="s">
        <v>136</v>
      </c>
      <c r="GL5" s="226" t="s">
        <v>137</v>
      </c>
      <c r="GM5" s="226" t="s">
        <v>149</v>
      </c>
      <c r="GN5" s="237" t="s">
        <v>139</v>
      </c>
      <c r="GO5" s="226" t="s">
        <v>140</v>
      </c>
      <c r="GP5" s="226" t="s">
        <v>141</v>
      </c>
      <c r="GQ5" s="226" t="s">
        <v>142</v>
      </c>
      <c r="GR5" s="226" t="s">
        <v>143</v>
      </c>
      <c r="GS5" s="248"/>
      <c r="GT5" s="225"/>
      <c r="GU5" s="214"/>
      <c r="GV5" s="226" t="s">
        <v>135</v>
      </c>
      <c r="GW5" s="247"/>
      <c r="GX5" s="226" t="s">
        <v>136</v>
      </c>
      <c r="GY5" s="226" t="s">
        <v>137</v>
      </c>
      <c r="GZ5" s="226" t="s">
        <v>149</v>
      </c>
      <c r="HA5" s="237" t="s">
        <v>139</v>
      </c>
      <c r="HB5" s="226" t="s">
        <v>140</v>
      </c>
      <c r="HC5" s="226" t="s">
        <v>141</v>
      </c>
      <c r="HD5" s="226" t="s">
        <v>142</v>
      </c>
      <c r="HE5" s="226" t="s">
        <v>143</v>
      </c>
      <c r="HF5" s="248"/>
      <c r="HG5" s="225"/>
      <c r="HH5" s="214"/>
      <c r="HI5" s="226" t="s">
        <v>135</v>
      </c>
      <c r="HJ5" s="233"/>
      <c r="HK5" s="226" t="s">
        <v>136</v>
      </c>
      <c r="HL5" s="226" t="s">
        <v>137</v>
      </c>
      <c r="HM5" s="226" t="s">
        <v>149</v>
      </c>
      <c r="HN5" s="237" t="s">
        <v>139</v>
      </c>
      <c r="HO5" s="226" t="s">
        <v>140</v>
      </c>
      <c r="HP5" s="226" t="s">
        <v>141</v>
      </c>
      <c r="HQ5" s="226" t="s">
        <v>142</v>
      </c>
      <c r="HR5" s="226" t="s">
        <v>143</v>
      </c>
      <c r="HS5" s="214"/>
      <c r="HT5" s="225"/>
      <c r="HU5" s="214"/>
      <c r="HV5" s="214"/>
      <c r="HW5" s="249" t="s">
        <v>158</v>
      </c>
      <c r="HX5" s="226" t="s">
        <v>136</v>
      </c>
      <c r="HY5" s="226" t="s">
        <v>137</v>
      </c>
      <c r="HZ5" s="226" t="s">
        <v>149</v>
      </c>
      <c r="IA5" s="226" t="s">
        <v>139</v>
      </c>
      <c r="IB5" s="226" t="s">
        <v>140</v>
      </c>
      <c r="IC5" s="226" t="s">
        <v>141</v>
      </c>
      <c r="ID5" s="226" t="s">
        <v>142</v>
      </c>
      <c r="IE5" s="226" t="s">
        <v>143</v>
      </c>
      <c r="IF5" s="226" t="s">
        <v>144</v>
      </c>
      <c r="IG5" s="226" t="s">
        <v>145</v>
      </c>
      <c r="IH5" s="207"/>
      <c r="II5" s="135"/>
      <c r="IJ5" s="207"/>
      <c r="IK5" s="250" t="s">
        <v>135</v>
      </c>
      <c r="IL5" s="251" t="s">
        <v>136</v>
      </c>
      <c r="IM5" s="237" t="s">
        <v>137</v>
      </c>
      <c r="IN5" s="226" t="s">
        <v>149</v>
      </c>
      <c r="IO5" s="237" t="s">
        <v>139</v>
      </c>
      <c r="IP5" s="226" t="s">
        <v>140</v>
      </c>
      <c r="IQ5" s="237" t="s">
        <v>141</v>
      </c>
      <c r="IR5" s="226" t="s">
        <v>142</v>
      </c>
      <c r="IS5" s="237" t="s">
        <v>143</v>
      </c>
      <c r="IT5" s="226" t="s">
        <v>144</v>
      </c>
      <c r="IU5" s="226" t="s">
        <v>145</v>
      </c>
      <c r="IV5" s="226" t="s">
        <v>146</v>
      </c>
      <c r="IW5" s="226" t="s">
        <v>147</v>
      </c>
      <c r="IX5" s="207"/>
      <c r="IY5" s="208"/>
      <c r="IZ5" s="207"/>
      <c r="JA5" s="252" t="s">
        <v>158</v>
      </c>
      <c r="JB5" s="253" t="s">
        <v>136</v>
      </c>
      <c r="JC5" s="254" t="s">
        <v>137</v>
      </c>
      <c r="JD5" s="253" t="s">
        <v>149</v>
      </c>
      <c r="JE5" s="255" t="s">
        <v>139</v>
      </c>
      <c r="JF5" s="254" t="s">
        <v>140</v>
      </c>
      <c r="JG5" s="255" t="s">
        <v>141</v>
      </c>
      <c r="JH5" s="254" t="s">
        <v>142</v>
      </c>
      <c r="JI5" s="255" t="s">
        <v>143</v>
      </c>
      <c r="JJ5" s="254" t="s">
        <v>144</v>
      </c>
      <c r="JK5" s="255" t="s">
        <v>145</v>
      </c>
      <c r="JL5" s="254" t="s">
        <v>146</v>
      </c>
      <c r="JM5" s="255" t="s">
        <v>147</v>
      </c>
      <c r="JN5" s="254" t="s">
        <v>148</v>
      </c>
      <c r="JO5" s="255" t="s">
        <v>150</v>
      </c>
      <c r="JP5" s="254" t="s">
        <v>151</v>
      </c>
      <c r="JQ5" s="255" t="s">
        <v>152</v>
      </c>
      <c r="JR5" s="254" t="s">
        <v>153</v>
      </c>
      <c r="JS5" s="256" t="s">
        <v>159</v>
      </c>
      <c r="JT5" s="254" t="s">
        <v>155</v>
      </c>
      <c r="JU5" s="255" t="s">
        <v>156</v>
      </c>
      <c r="JV5" s="255" t="s">
        <v>157</v>
      </c>
      <c r="JW5" s="255" t="s">
        <v>160</v>
      </c>
      <c r="JX5" s="207"/>
      <c r="JY5" s="208"/>
      <c r="JZ5" s="101"/>
      <c r="KA5" s="249" t="s">
        <v>135</v>
      </c>
      <c r="KB5" s="226" t="s">
        <v>136</v>
      </c>
      <c r="KC5" s="226" t="s">
        <v>137</v>
      </c>
      <c r="KD5" s="226" t="s">
        <v>161</v>
      </c>
      <c r="KE5" s="226" t="s">
        <v>139</v>
      </c>
      <c r="KF5" s="226" t="s">
        <v>162</v>
      </c>
      <c r="KG5" s="226" t="s">
        <v>141</v>
      </c>
      <c r="KH5" s="226" t="s">
        <v>142</v>
      </c>
      <c r="KI5" s="226" t="s">
        <v>143</v>
      </c>
      <c r="KJ5" s="226" t="s">
        <v>144</v>
      </c>
      <c r="KK5" s="207"/>
      <c r="KL5" s="208"/>
      <c r="KM5" s="138"/>
      <c r="KN5" s="249" t="s">
        <v>135</v>
      </c>
      <c r="KO5" s="226" t="str">
        <f>KB5</f>
        <v>(a)</v>
      </c>
      <c r="KP5" s="226" t="s">
        <v>137</v>
      </c>
      <c r="KQ5" s="226" t="s">
        <v>161</v>
      </c>
      <c r="KR5" s="226" t="s">
        <v>139</v>
      </c>
      <c r="KS5" s="226" t="s">
        <v>162</v>
      </c>
      <c r="KT5" s="226" t="s">
        <v>141</v>
      </c>
      <c r="KU5" s="226" t="s">
        <v>142</v>
      </c>
      <c r="KV5" s="226" t="s">
        <v>143</v>
      </c>
      <c r="KW5" s="226" t="s">
        <v>144</v>
      </c>
      <c r="KX5" s="226" t="s">
        <v>145</v>
      </c>
      <c r="KY5" s="226" t="s">
        <v>146</v>
      </c>
      <c r="KZ5" s="226" t="s">
        <v>147</v>
      </c>
      <c r="LA5" s="226" t="s">
        <v>148</v>
      </c>
      <c r="LB5" s="138"/>
      <c r="LC5" s="141"/>
      <c r="LD5" s="138"/>
      <c r="LE5" s="257" t="s">
        <v>135</v>
      </c>
      <c r="LF5" s="251" t="s">
        <v>136</v>
      </c>
      <c r="LG5" s="251" t="s">
        <v>137</v>
      </c>
      <c r="LH5" s="251" t="s">
        <v>161</v>
      </c>
      <c r="LI5" s="226" t="s">
        <v>139</v>
      </c>
      <c r="LJ5" s="237" t="s">
        <v>162</v>
      </c>
      <c r="LK5" s="226" t="s">
        <v>141</v>
      </c>
      <c r="LL5" s="237" t="s">
        <v>142</v>
      </c>
      <c r="LM5" s="226" t="s">
        <v>143</v>
      </c>
      <c r="LN5" s="237" t="s">
        <v>144</v>
      </c>
      <c r="LO5" s="237" t="s">
        <v>145</v>
      </c>
      <c r="LP5" s="237" t="s">
        <v>146</v>
      </c>
      <c r="LQ5" s="226" t="s">
        <v>147</v>
      </c>
      <c r="LR5" s="237" t="s">
        <v>148</v>
      </c>
      <c r="LS5" s="226" t="s">
        <v>150</v>
      </c>
      <c r="LT5" s="237" t="s">
        <v>151</v>
      </c>
      <c r="LU5" s="226" t="s">
        <v>152</v>
      </c>
      <c r="LV5" s="237" t="s">
        <v>153</v>
      </c>
      <c r="LW5" s="226" t="s">
        <v>154</v>
      </c>
      <c r="LX5" s="237" t="s">
        <v>163</v>
      </c>
      <c r="LY5" s="226" t="s">
        <v>156</v>
      </c>
      <c r="LZ5" s="226" t="s">
        <v>157</v>
      </c>
      <c r="MA5" s="101"/>
      <c r="MB5" s="189"/>
      <c r="MC5" s="224"/>
      <c r="MD5" s="249" t="s">
        <v>158</v>
      </c>
      <c r="ME5" s="237" t="s">
        <v>136</v>
      </c>
      <c r="MF5" s="226" t="s">
        <v>137</v>
      </c>
      <c r="MG5" s="226" t="s">
        <v>161</v>
      </c>
      <c r="MH5" s="237" t="s">
        <v>139</v>
      </c>
      <c r="MI5" s="226" t="s">
        <v>162</v>
      </c>
      <c r="MJ5" s="226" t="s">
        <v>141</v>
      </c>
      <c r="MK5" s="237" t="s">
        <v>142</v>
      </c>
      <c r="ML5" s="226" t="s">
        <v>143</v>
      </c>
      <c r="MM5" s="226" t="s">
        <v>144</v>
      </c>
      <c r="MN5" s="226" t="s">
        <v>145</v>
      </c>
      <c r="MO5" s="214"/>
      <c r="MP5" s="230"/>
      <c r="MQ5" s="224"/>
      <c r="MR5" s="249" t="s">
        <v>135</v>
      </c>
      <c r="MS5" s="227" t="s">
        <v>136</v>
      </c>
      <c r="MT5" s="226" t="s">
        <v>137</v>
      </c>
      <c r="MU5" s="224"/>
      <c r="MV5" s="230"/>
      <c r="MW5" s="224"/>
      <c r="MX5" s="258"/>
      <c r="MY5" s="258"/>
      <c r="MZ5" s="259" t="s">
        <v>62</v>
      </c>
      <c r="NA5" s="260" t="s">
        <v>63</v>
      </c>
      <c r="NB5" s="261"/>
      <c r="NC5" s="262" t="s">
        <v>62</v>
      </c>
      <c r="ND5" s="260" t="s">
        <v>63</v>
      </c>
      <c r="NE5" s="214"/>
      <c r="NF5" s="230"/>
      <c r="NG5" s="224"/>
      <c r="NH5" s="258"/>
      <c r="NI5" s="258"/>
      <c r="NJ5" s="258"/>
      <c r="NK5" s="258"/>
      <c r="NL5" s="263" t="s">
        <v>164</v>
      </c>
      <c r="NM5" s="263" t="s">
        <v>165</v>
      </c>
      <c r="NN5" s="214"/>
      <c r="NO5" s="230"/>
      <c r="NP5" s="224"/>
      <c r="NQ5" s="264"/>
      <c r="NR5" s="264"/>
      <c r="NS5" s="264"/>
      <c r="NT5" s="264"/>
      <c r="NU5" s="264"/>
      <c r="NV5" s="264"/>
      <c r="NW5" s="264"/>
    </row>
    <row r="6" spans="2:387" x14ac:dyDescent="0.3">
      <c r="B6" s="265">
        <v>1</v>
      </c>
      <c r="C6" s="266" t="s">
        <v>166</v>
      </c>
      <c r="D6" s="267"/>
      <c r="E6" s="268"/>
      <c r="F6" s="269"/>
      <c r="G6" s="270"/>
      <c r="H6" s="271"/>
      <c r="I6" s="272"/>
      <c r="J6" s="270"/>
      <c r="K6" s="269"/>
      <c r="L6" s="273"/>
      <c r="M6" s="270"/>
      <c r="N6" s="269"/>
      <c r="O6" s="273"/>
      <c r="P6" s="270"/>
      <c r="Q6" s="274"/>
      <c r="R6" s="272"/>
      <c r="V6" s="275"/>
      <c r="W6" s="276" t="s">
        <v>25</v>
      </c>
      <c r="X6" s="277"/>
      <c r="Y6" s="278"/>
      <c r="Z6" s="278"/>
      <c r="AA6" s="278"/>
      <c r="AB6" s="279"/>
      <c r="AC6" s="280"/>
      <c r="AF6" s="281"/>
      <c r="AG6" s="282" t="s">
        <v>25</v>
      </c>
      <c r="AH6" s="97"/>
      <c r="AI6" s="97"/>
      <c r="AJ6" s="97"/>
      <c r="AN6" s="283">
        <v>1</v>
      </c>
      <c r="AO6" s="284"/>
      <c r="AP6" s="285" t="s">
        <v>166</v>
      </c>
      <c r="AQ6" s="281"/>
      <c r="AR6" s="28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287"/>
      <c r="CD6" s="97"/>
      <c r="CE6" s="97"/>
      <c r="CF6" s="287"/>
      <c r="CG6" s="97"/>
      <c r="CK6" s="283">
        <v>1</v>
      </c>
      <c r="CL6" s="288" t="s">
        <v>69</v>
      </c>
      <c r="CM6" s="289">
        <v>227847.12639999998</v>
      </c>
      <c r="CN6" s="17">
        <v>4426873.1057000002</v>
      </c>
      <c r="CO6" s="17">
        <v>573783.94040000008</v>
      </c>
      <c r="CP6" s="290">
        <f>CO6+CN6</f>
        <v>5000657.0460999999</v>
      </c>
      <c r="CQ6" s="289">
        <v>230065.55064242429</v>
      </c>
      <c r="CR6" s="17">
        <v>4467617.8590333341</v>
      </c>
      <c r="CS6" s="17">
        <v>444149.88200351072</v>
      </c>
      <c r="CT6" s="17">
        <f>CS6+CR6</f>
        <v>4911767.7410368444</v>
      </c>
      <c r="CU6" s="291"/>
      <c r="CV6" s="186"/>
      <c r="CX6" s="283">
        <v>1</v>
      </c>
      <c r="CY6" s="292" t="s">
        <v>69</v>
      </c>
      <c r="CZ6" s="293">
        <v>27072.303499999998</v>
      </c>
      <c r="DA6" s="290">
        <v>571445.50265000004</v>
      </c>
      <c r="DB6" s="293">
        <v>27072.303499999998</v>
      </c>
      <c r="DC6" s="17">
        <v>571445.50264999992</v>
      </c>
      <c r="DD6" s="17">
        <v>571445.50264999992</v>
      </c>
      <c r="DF6" s="186"/>
      <c r="DH6" s="283">
        <v>1</v>
      </c>
      <c r="DI6" s="292" t="s">
        <v>69</v>
      </c>
      <c r="DJ6" s="293">
        <v>125693.06199999999</v>
      </c>
      <c r="DK6" s="290">
        <v>3148278.1857500002</v>
      </c>
      <c r="DL6" s="293">
        <v>127299.97109090912</v>
      </c>
      <c r="DM6" s="17">
        <v>3327431.0126313376</v>
      </c>
      <c r="DQ6" s="283">
        <v>1</v>
      </c>
      <c r="DR6" s="294" t="s">
        <v>167</v>
      </c>
      <c r="DS6" s="295">
        <v>240234</v>
      </c>
      <c r="DT6" s="295">
        <v>283539</v>
      </c>
      <c r="DU6" s="295">
        <v>365317</v>
      </c>
      <c r="DV6" s="295">
        <f>SUM(DS6:DU6)</f>
        <v>889090</v>
      </c>
      <c r="DW6" s="296">
        <v>228850</v>
      </c>
      <c r="DX6" s="295">
        <v>279164</v>
      </c>
      <c r="DY6" s="295">
        <v>340128</v>
      </c>
      <c r="DZ6" s="295">
        <v>848142</v>
      </c>
      <c r="ED6" s="283">
        <v>1</v>
      </c>
      <c r="EE6" s="286" t="s">
        <v>168</v>
      </c>
      <c r="EF6" s="17">
        <v>287644.26399999997</v>
      </c>
      <c r="EG6" s="17">
        <v>414688.32799999998</v>
      </c>
      <c r="EH6" s="17">
        <v>382662.99469999998</v>
      </c>
      <c r="EI6" s="290">
        <f>SUM(EF6:EH6)</f>
        <v>1084995.5866999999</v>
      </c>
      <c r="EJ6" s="17">
        <v>278075.03116146935</v>
      </c>
      <c r="EK6" s="17">
        <v>422093.25051200658</v>
      </c>
      <c r="EL6" s="17">
        <v>387861.38685864961</v>
      </c>
      <c r="EM6" s="17">
        <f>SUM(EJ6:EL6)</f>
        <v>1088029.6685321254</v>
      </c>
      <c r="EN6" s="103"/>
      <c r="EO6" s="189"/>
      <c r="EQ6" s="283">
        <v>1</v>
      </c>
      <c r="ER6" s="286" t="s">
        <v>168</v>
      </c>
      <c r="ES6" s="17">
        <v>213728.13600000003</v>
      </c>
      <c r="ET6" s="17">
        <v>105449.12000000001</v>
      </c>
      <c r="EU6" s="17">
        <v>103689.106</v>
      </c>
      <c r="EV6" s="290">
        <f>SUM(ES6:EU6)</f>
        <v>422866.36200000008</v>
      </c>
      <c r="EW6" s="17">
        <v>198637.33426570735</v>
      </c>
      <c r="EX6" s="17">
        <v>103141.52581775701</v>
      </c>
      <c r="EY6" s="17">
        <v>104277.30279141104</v>
      </c>
      <c r="EZ6" s="290">
        <f>SUM(EW6:EY6)</f>
        <v>406056.16287487542</v>
      </c>
      <c r="FA6" s="17">
        <f t="shared" ref="FA6:FA7" si="0">(EZ6/$EZ$9)*$FA$9</f>
        <v>290034.66992797703</v>
      </c>
      <c r="FB6" s="17">
        <f>(EZ6/$EZ$9)*$FB$9</f>
        <v>116155.68924426479</v>
      </c>
      <c r="FC6" s="17">
        <f>SUM(FA6:FB6)</f>
        <v>406190.35917224182</v>
      </c>
      <c r="FD6" s="103"/>
      <c r="FE6" s="189"/>
      <c r="FG6" s="283">
        <v>1</v>
      </c>
      <c r="FH6" s="285" t="s">
        <v>169</v>
      </c>
      <c r="FI6" s="297"/>
      <c r="FJ6" s="298"/>
      <c r="FK6" s="298"/>
      <c r="FL6" s="298"/>
      <c r="FM6" s="299"/>
      <c r="FN6" s="298"/>
      <c r="FO6" s="298"/>
      <c r="FP6" s="298"/>
      <c r="FQ6" s="298"/>
      <c r="FR6" s="298"/>
      <c r="FS6" s="103"/>
      <c r="FT6" s="189"/>
      <c r="FV6" s="283">
        <v>1</v>
      </c>
      <c r="FW6" s="286" t="s">
        <v>170</v>
      </c>
      <c r="FX6" s="17">
        <v>27056.9</v>
      </c>
      <c r="FY6" s="17">
        <v>10937</v>
      </c>
      <c r="FZ6" s="17">
        <v>40000</v>
      </c>
      <c r="GA6" s="290">
        <v>77993.899999999994</v>
      </c>
      <c r="GB6" s="17">
        <v>0</v>
      </c>
      <c r="GC6" s="17">
        <v>0</v>
      </c>
      <c r="GD6" s="17">
        <v>0</v>
      </c>
      <c r="GE6" s="290">
        <f t="shared" ref="GE6:GE13" si="1">SUM(GB6:GD6)</f>
        <v>0</v>
      </c>
      <c r="GF6" s="300"/>
      <c r="GG6" s="301"/>
      <c r="GI6" s="283">
        <v>1</v>
      </c>
      <c r="GJ6" s="97" t="s">
        <v>171</v>
      </c>
      <c r="GK6" s="17">
        <v>0</v>
      </c>
      <c r="GL6" s="17">
        <v>0</v>
      </c>
      <c r="GM6" s="17">
        <v>0</v>
      </c>
      <c r="GN6" s="290">
        <f t="shared" ref="GN6:GN11" si="2">SUM(GK6:GM6)</f>
        <v>0</v>
      </c>
      <c r="GO6" s="17">
        <v>0</v>
      </c>
      <c r="GP6" s="17">
        <v>0</v>
      </c>
      <c r="GQ6" s="17">
        <v>0</v>
      </c>
      <c r="GR6" s="290">
        <f t="shared" ref="GR6:GR10" si="3">SUM(GO6:GQ6)</f>
        <v>0</v>
      </c>
      <c r="GS6" s="300"/>
      <c r="GT6" s="301"/>
      <c r="GV6" s="283">
        <v>1</v>
      </c>
      <c r="GW6" s="286" t="s">
        <v>172</v>
      </c>
      <c r="GX6" s="17">
        <v>1200</v>
      </c>
      <c r="GY6" s="17">
        <v>5864.05</v>
      </c>
      <c r="GZ6" s="17">
        <v>7336.6900000000005</v>
      </c>
      <c r="HA6" s="290">
        <f t="shared" ref="HA6:HA11" si="4">SUM(GX6:GZ6)</f>
        <v>14400.740000000002</v>
      </c>
      <c r="HB6" s="17">
        <v>1200</v>
      </c>
      <c r="HC6" s="17">
        <v>5864.05</v>
      </c>
      <c r="HD6" s="17">
        <v>7336.6899999999987</v>
      </c>
      <c r="HE6" s="17">
        <f>SUM(HB6:HD6)</f>
        <v>14400.739999999998</v>
      </c>
      <c r="HF6" s="300"/>
      <c r="HG6" s="301"/>
      <c r="HI6" s="283">
        <v>1</v>
      </c>
      <c r="HJ6" s="302" t="s">
        <v>173</v>
      </c>
      <c r="HK6" s="303">
        <v>290799436</v>
      </c>
      <c r="HL6" s="303">
        <v>621968266</v>
      </c>
      <c r="HM6" s="303">
        <v>1165621094</v>
      </c>
      <c r="HN6" s="304">
        <f>SUM(HK6:HM6)</f>
        <v>2078388796</v>
      </c>
      <c r="HO6" s="295">
        <v>294268079.81818181</v>
      </c>
      <c r="HP6" s="295">
        <v>623505438.20000005</v>
      </c>
      <c r="HQ6" s="295">
        <v>1165621094</v>
      </c>
      <c r="HR6" s="295">
        <f>SUM(HO6:HQ6)</f>
        <v>2083394612.0181818</v>
      </c>
      <c r="HS6" s="305"/>
      <c r="HW6" s="283">
        <v>1</v>
      </c>
      <c r="HX6" s="306">
        <v>1</v>
      </c>
      <c r="HY6" s="306">
        <v>10</v>
      </c>
      <c r="HZ6" s="306">
        <v>22</v>
      </c>
      <c r="IA6" s="307">
        <v>11526295</v>
      </c>
      <c r="IB6" s="308">
        <v>18846113</v>
      </c>
      <c r="IC6" s="309">
        <f t="shared" ref="IC6:IC26" si="5">HZ6/HY6</f>
        <v>2.2000000000000002</v>
      </c>
      <c r="ID6" s="309">
        <f t="shared" ref="ID6:ID26" si="6">IB6/IA6</f>
        <v>1.6350538486131059</v>
      </c>
      <c r="IE6" s="310">
        <v>1</v>
      </c>
      <c r="IF6" s="310">
        <v>0</v>
      </c>
      <c r="IG6" s="310">
        <v>0</v>
      </c>
      <c r="II6" s="141"/>
      <c r="IK6" s="311">
        <v>1</v>
      </c>
      <c r="IL6" s="312">
        <v>1</v>
      </c>
      <c r="IM6" s="313">
        <f t="shared" ref="IM6:IM26" si="7">ID6</f>
        <v>1.6350538486131059</v>
      </c>
      <c r="IN6" s="17">
        <v>0</v>
      </c>
      <c r="IO6" s="290">
        <f>IM6*IN6</f>
        <v>0</v>
      </c>
      <c r="IP6" s="17">
        <v>1254545</v>
      </c>
      <c r="IQ6" s="290">
        <v>1917604</v>
      </c>
      <c r="IR6" s="17">
        <v>513544.35600000009</v>
      </c>
      <c r="IS6" s="290">
        <v>776037</v>
      </c>
      <c r="IT6" s="17">
        <v>170395.60081036729</v>
      </c>
      <c r="IU6" s="17">
        <v>278605.98289173353</v>
      </c>
      <c r="IV6" s="17">
        <f>SUM(IN6,IR6,IT6)</f>
        <v>683939.95681036741</v>
      </c>
      <c r="IW6" s="17">
        <f>SUM(IO6,IS6,IU6)</f>
        <v>1054642.9828917335</v>
      </c>
      <c r="IX6" s="314"/>
      <c r="IY6" s="315"/>
      <c r="IZ6" s="314"/>
      <c r="JA6" s="316">
        <v>1</v>
      </c>
      <c r="JB6" s="317">
        <v>1</v>
      </c>
      <c r="JC6" s="318">
        <f t="shared" ref="JC6:JD25" si="8">IC6</f>
        <v>2.2000000000000002</v>
      </c>
      <c r="JD6" s="319">
        <f t="shared" si="8"/>
        <v>1.6350538486131059</v>
      </c>
      <c r="JE6" s="17">
        <v>218995.37041548945</v>
      </c>
      <c r="JF6" s="290">
        <f>JE6*$JD6</f>
        <v>358069.22322629875</v>
      </c>
      <c r="JG6" s="17">
        <v>18050.269800000002</v>
      </c>
      <c r="JH6" s="290">
        <f>JG6*$JD6</f>
        <v>29513.163104994921</v>
      </c>
      <c r="JI6" s="17">
        <v>186217.60978451057</v>
      </c>
      <c r="JJ6" s="290">
        <f>JI6*JC6</f>
        <v>409678.74152592331</v>
      </c>
      <c r="JK6" s="17">
        <v>324907.78929672181</v>
      </c>
      <c r="JL6" s="290">
        <v>816838.09085866832</v>
      </c>
      <c r="JM6" s="17">
        <v>4953.383799999996</v>
      </c>
      <c r="JN6" s="290">
        <f>JM6*$JD6</f>
        <v>8099.0492458478047</v>
      </c>
      <c r="JO6" s="17">
        <v>27255.312800000014</v>
      </c>
      <c r="JP6" s="290">
        <f>JO6*$JD6</f>
        <v>44563.904088794072</v>
      </c>
      <c r="JQ6" s="17">
        <v>24635.33</v>
      </c>
      <c r="JR6" s="290">
        <f>JQ6*$JD6</f>
        <v>40280.09112835391</v>
      </c>
      <c r="JS6" s="17">
        <v>108325.56174999999</v>
      </c>
      <c r="JT6" s="290">
        <f>JS6*$JD6</f>
        <v>177118.12664251414</v>
      </c>
      <c r="JU6" s="17">
        <f>JE6+JG6+JI6+JK6+JM6+JQ6+JS6+JO6</f>
        <v>913340.62764672167</v>
      </c>
      <c r="JV6" s="17">
        <f>JF6+JH6+JJ6+JL6+JN6+JR6+JT6+JP6</f>
        <v>1884160.389821395</v>
      </c>
      <c r="JW6" s="320">
        <f t="shared" ref="JW6:JW26" si="9">JV6/IB6*100</f>
        <v>9.9976074101932593</v>
      </c>
      <c r="KA6" s="283">
        <v>1</v>
      </c>
      <c r="KB6" s="306">
        <v>1</v>
      </c>
      <c r="KC6" s="97">
        <f t="shared" ref="KC6:KC25" si="10">HZ6</f>
        <v>22</v>
      </c>
      <c r="KD6" s="97">
        <f t="shared" ref="KD6:KD18" si="11">KC6</f>
        <v>22</v>
      </c>
      <c r="KE6" s="289">
        <f t="shared" ref="KE6:KE25" si="12">IB6</f>
        <v>18846113</v>
      </c>
      <c r="KF6" s="289">
        <f t="shared" ref="KF6:KF25" si="13">KE6*$KH$26</f>
        <v>19557531.81836148</v>
      </c>
      <c r="KG6" s="321">
        <f>KD6/KC6</f>
        <v>1</v>
      </c>
      <c r="KH6" s="321">
        <f>KF6/KE6</f>
        <v>1.0377488354421667</v>
      </c>
      <c r="KI6" s="321">
        <f>LZ7/LY7</f>
        <v>0.98561078243908129</v>
      </c>
      <c r="KJ6" s="306" t="s">
        <v>256</v>
      </c>
      <c r="KK6" s="322"/>
      <c r="KL6" s="323"/>
      <c r="KM6" s="322"/>
      <c r="KN6" s="283">
        <v>1</v>
      </c>
      <c r="KO6" s="306">
        <v>1</v>
      </c>
      <c r="KP6" s="324" t="str">
        <f t="shared" ref="KP6:KP25" si="14">KJ6</f>
        <v>Q3</v>
      </c>
      <c r="KQ6" s="325">
        <f t="shared" ref="KQ6:KQ26" si="15">KI6</f>
        <v>0.98561078243908129</v>
      </c>
      <c r="KR6" s="17">
        <f>IO6</f>
        <v>0</v>
      </c>
      <c r="KS6" s="17">
        <f>KR6*KI6</f>
        <v>0</v>
      </c>
      <c r="KT6" s="17">
        <f t="shared" ref="KT6:KT26" si="16">IQ6</f>
        <v>1917604</v>
      </c>
      <c r="KU6" s="17">
        <f>IB6/$IB$26*$KU$26</f>
        <v>2139908.9411763279</v>
      </c>
      <c r="KV6" s="17">
        <f t="shared" ref="KV6:KV25" si="17">IS6</f>
        <v>776037</v>
      </c>
      <c r="KW6" s="17">
        <f t="shared" ref="KW6:KW25" si="18">IB6/$IB$26*$KW$26</f>
        <v>1174698.161752417</v>
      </c>
      <c r="KX6" s="17">
        <f>IU6</f>
        <v>278605.98289173353</v>
      </c>
      <c r="KY6" s="17">
        <f>IB6/$IB$26*$KY$26</f>
        <v>42455.619171788028</v>
      </c>
      <c r="KZ6" s="17">
        <f>SUM(KR6,KV6,KX6)</f>
        <v>1054642.9828917335</v>
      </c>
      <c r="LA6" s="17">
        <f>SUM(KS6,KW6,KY6)</f>
        <v>1217153.780924205</v>
      </c>
      <c r="LB6" s="326"/>
      <c r="LC6" s="323"/>
      <c r="LD6" s="322"/>
      <c r="LE6" s="327">
        <v>1</v>
      </c>
      <c r="LF6" s="328"/>
      <c r="LG6" s="328"/>
      <c r="LH6" s="329" t="s">
        <v>174</v>
      </c>
      <c r="LI6" s="330"/>
      <c r="LJ6" s="331">
        <v>93.896890289895666</v>
      </c>
      <c r="LK6" s="332"/>
      <c r="LL6" s="331">
        <v>93.896890289895666</v>
      </c>
      <c r="LM6" s="332"/>
      <c r="LN6" s="331">
        <v>93.896890289895666</v>
      </c>
      <c r="LO6" s="332"/>
      <c r="LP6" s="331">
        <v>124.073296295623</v>
      </c>
      <c r="LQ6" s="332"/>
      <c r="LR6" s="331">
        <v>124.918518433629</v>
      </c>
      <c r="LS6" s="332"/>
      <c r="LT6" s="331">
        <v>142.81445092884499</v>
      </c>
      <c r="LU6" s="332"/>
      <c r="LV6" s="331">
        <v>117.90757601671299</v>
      </c>
      <c r="LW6" s="332"/>
      <c r="LX6" s="331">
        <v>121.988107636154</v>
      </c>
      <c r="LY6" s="330"/>
      <c r="LZ6" s="333"/>
      <c r="MA6" s="334"/>
      <c r="MB6" s="335"/>
      <c r="MD6" s="283">
        <v>1</v>
      </c>
      <c r="ME6" s="336">
        <v>1</v>
      </c>
      <c r="MF6" s="17">
        <f t="shared" ref="MF6:MG25" si="19">IV6</f>
        <v>683939.95681036741</v>
      </c>
      <c r="MG6" s="17">
        <f t="shared" si="19"/>
        <v>1054642.9828917335</v>
      </c>
      <c r="MH6" s="290">
        <f t="shared" ref="MH6:MH25" si="20">LA6</f>
        <v>1217153.780924205</v>
      </c>
      <c r="MI6" s="17">
        <f t="shared" ref="MI6:MJ25" si="21">JU6</f>
        <v>913340.62764672167</v>
      </c>
      <c r="MJ6" s="17">
        <f t="shared" si="21"/>
        <v>1884160.389821395</v>
      </c>
      <c r="MK6" s="290">
        <f>LZ7</f>
        <v>1857048.7960525895</v>
      </c>
      <c r="ML6" s="17">
        <f>MF6-MI6</f>
        <v>-229400.67083635426</v>
      </c>
      <c r="MM6" s="17">
        <f>MG6-MJ6</f>
        <v>-829517.40692966152</v>
      </c>
      <c r="MN6" s="17">
        <f>MH6-MK6</f>
        <v>-639895.01512838458</v>
      </c>
      <c r="MP6" s="337"/>
      <c r="MQ6" s="98"/>
      <c r="MR6" s="283">
        <v>1</v>
      </c>
      <c r="MS6" s="285" t="s">
        <v>175</v>
      </c>
      <c r="MT6" s="265"/>
      <c r="MU6" s="98"/>
      <c r="MV6" s="337"/>
      <c r="MW6" s="98"/>
      <c r="MX6" s="338" t="s">
        <v>135</v>
      </c>
      <c r="MY6" s="338"/>
      <c r="MZ6" s="227" t="s">
        <v>136</v>
      </c>
      <c r="NA6" s="226" t="s">
        <v>137</v>
      </c>
      <c r="NB6" s="226"/>
      <c r="NC6" s="234" t="s">
        <v>138</v>
      </c>
      <c r="ND6" s="226" t="s">
        <v>139</v>
      </c>
      <c r="NF6" s="337"/>
      <c r="NG6" s="98"/>
      <c r="NH6" s="338" t="s">
        <v>135</v>
      </c>
      <c r="NI6" s="113"/>
      <c r="NJ6" s="96"/>
      <c r="NO6" s="337"/>
      <c r="NP6" s="98"/>
    </row>
    <row r="7" spans="2:387" x14ac:dyDescent="0.3">
      <c r="B7" s="226">
        <f>B6+1</f>
        <v>2</v>
      </c>
      <c r="C7" s="339"/>
      <c r="D7" s="518" t="s">
        <v>166</v>
      </c>
      <c r="E7" s="340"/>
      <c r="F7" s="15">
        <f>HN7-F10-F11</f>
        <v>326375296.65850008</v>
      </c>
      <c r="G7" s="341">
        <f t="shared" ref="G7:G12" si="22">F7/F$24*100</f>
        <v>15.703284067284784</v>
      </c>
      <c r="H7" s="15">
        <f>HR7-H10-H11</f>
        <v>322622284.32787216</v>
      </c>
      <c r="I7" s="342">
        <f t="shared" ref="I7:I12" si="23">H7/H$24*100</f>
        <v>15.485414163347016</v>
      </c>
      <c r="J7" s="343">
        <f>H7-F7</f>
        <v>-3753012.3306279182</v>
      </c>
      <c r="K7" s="15">
        <f>K8+K9</f>
        <v>324392392</v>
      </c>
      <c r="L7" s="342">
        <f t="shared" ref="L7:L12" si="24">K7/K$24*100</f>
        <v>15.355887069393029</v>
      </c>
      <c r="M7" s="343">
        <f>K7-H7</f>
        <v>1770107.6721278429</v>
      </c>
      <c r="N7" s="15">
        <f>N8+N9</f>
        <v>371540376.1521095</v>
      </c>
      <c r="O7" s="342">
        <f t="shared" ref="O7:O12" si="25">N7/N$24*100</f>
        <v>16.947982668328549</v>
      </c>
      <c r="P7" s="343">
        <f>N7-K7</f>
        <v>47147984.152109504</v>
      </c>
      <c r="Q7" s="15">
        <f>N7-F7</f>
        <v>45165079.493609428</v>
      </c>
      <c r="R7" s="344">
        <f>O7/G7-1</f>
        <v>7.9263585611170972E-2</v>
      </c>
      <c r="V7" s="249">
        <f>V6+1</f>
        <v>1</v>
      </c>
      <c r="W7" s="345" t="s">
        <v>176</v>
      </c>
      <c r="X7" s="20">
        <v>-230802.10374195941</v>
      </c>
      <c r="Y7" s="20">
        <v>1676841.6676000003</v>
      </c>
      <c r="Z7" s="20">
        <v>3899001.5918000019</v>
      </c>
      <c r="AA7" s="20">
        <f>SUM(X7:Z7)</f>
        <v>5345041.155658043</v>
      </c>
      <c r="AB7" s="20"/>
      <c r="AF7" s="249">
        <v>1</v>
      </c>
      <c r="AG7" s="346" t="s">
        <v>78</v>
      </c>
      <c r="AH7" s="105">
        <f>CM9</f>
        <v>1768304.2516944832</v>
      </c>
      <c r="AI7" s="105">
        <f>CZ9</f>
        <v>110734.90699999999</v>
      </c>
      <c r="AJ7" s="347">
        <f>DJ9</f>
        <v>530227.1121017714</v>
      </c>
      <c r="AN7" s="338">
        <v>2</v>
      </c>
      <c r="AO7" s="96"/>
      <c r="AQ7" s="518" t="s">
        <v>166</v>
      </c>
      <c r="AR7" s="340"/>
      <c r="AS7" s="348">
        <v>120302111.8284</v>
      </c>
      <c r="AT7" s="349">
        <v>11.731293175407233</v>
      </c>
      <c r="AU7" s="350"/>
      <c r="AV7" s="348">
        <v>126126278.56186666</v>
      </c>
      <c r="AW7" s="349">
        <v>11.687249674641077</v>
      </c>
      <c r="AX7" s="351">
        <f>AW7/AT7-1</f>
        <v>-3.754360248918287E-3</v>
      </c>
      <c r="AY7" s="350"/>
      <c r="AZ7" s="348">
        <v>150728360.25</v>
      </c>
      <c r="BA7" s="349">
        <v>11.683129983994691</v>
      </c>
      <c r="BB7" s="351">
        <f>BA7/AW7-1</f>
        <v>-3.5249445002660806E-4</v>
      </c>
      <c r="BC7" s="350"/>
      <c r="BD7" s="348">
        <v>171227908</v>
      </c>
      <c r="BE7" s="349">
        <v>11.643318740549148</v>
      </c>
      <c r="BF7" s="351">
        <f>BE7/BA7-1</f>
        <v>-3.407583712590978E-3</v>
      </c>
      <c r="BG7" s="350"/>
      <c r="BH7" s="348">
        <v>176109569.11769998</v>
      </c>
      <c r="BI7" s="349">
        <v>11.588889837145976</v>
      </c>
      <c r="BJ7" s="351">
        <f>BI7/BE7-1</f>
        <v>-4.6746898041721829E-3</v>
      </c>
      <c r="BK7" s="350"/>
      <c r="BL7" s="348">
        <v>240705114.20000002</v>
      </c>
      <c r="BM7" s="349">
        <v>14.309535452395124</v>
      </c>
      <c r="BN7" s="351">
        <f>BM7/BI7-1</f>
        <v>0.23476326494438138</v>
      </c>
      <c r="BO7" s="350"/>
      <c r="BP7" s="348">
        <v>290609169.1400001</v>
      </c>
      <c r="BQ7" s="349">
        <v>15.66802926667919</v>
      </c>
      <c r="BR7" s="351">
        <f>BQ7/BM7-1</f>
        <v>9.4936262522532289E-2</v>
      </c>
      <c r="BS7" s="350"/>
      <c r="BT7" s="518">
        <v>313797305.58539999</v>
      </c>
      <c r="BU7" s="518">
        <v>15.993295780429609</v>
      </c>
      <c r="BV7" s="518">
        <f>BU7/BQ7-1</f>
        <v>2.0759886786920534E-2</v>
      </c>
      <c r="BW7" s="15">
        <v>311488574.40979999</v>
      </c>
      <c r="BX7" s="16">
        <v>16.091667659507319</v>
      </c>
      <c r="BY7" s="16">
        <f>BX7/BU7-1</f>
        <v>6.15081972022824E-3</v>
      </c>
      <c r="BZ7" s="16">
        <v>328676461.76159996</v>
      </c>
      <c r="CA7" s="16">
        <v>16.112403825565277</v>
      </c>
      <c r="CB7" s="16">
        <f>CA7/BX7-1</f>
        <v>1.2886275367305355E-3</v>
      </c>
      <c r="CC7" s="15">
        <f t="shared" ref="CC7:CD10" si="26">F7</f>
        <v>326375296.65850008</v>
      </c>
      <c r="CD7" s="16">
        <f t="shared" si="26"/>
        <v>15.703284067284784</v>
      </c>
      <c r="CE7" s="352">
        <f>CD7/CA7-1</f>
        <v>-2.5391602811701497E-2</v>
      </c>
      <c r="CF7" s="353">
        <f>CC7/AS7-1</f>
        <v>1.712963984572812</v>
      </c>
      <c r="CG7" s="352">
        <f>(CF7+1)^(1/(2022-2004))-1</f>
        <v>5.701274482339147E-2</v>
      </c>
      <c r="CK7" s="338">
        <v>2</v>
      </c>
      <c r="CL7" s="354" t="s">
        <v>70</v>
      </c>
      <c r="CM7" s="355">
        <v>540922.95217162615</v>
      </c>
      <c r="CN7" s="20">
        <v>9819424.8602000009</v>
      </c>
      <c r="CO7" s="20">
        <v>1620681.3805000002</v>
      </c>
      <c r="CP7" s="343">
        <f>CO7+CN7</f>
        <v>11440106.240700001</v>
      </c>
      <c r="CQ7" s="355">
        <v>541980.73717162607</v>
      </c>
      <c r="CR7" s="20">
        <v>9837708.0032399986</v>
      </c>
      <c r="CS7" s="20">
        <v>1210007.2553475637</v>
      </c>
      <c r="CT7" s="20">
        <f>CS7+CR7</f>
        <v>11047715.258587562</v>
      </c>
      <c r="CU7" s="291"/>
      <c r="CV7" s="106"/>
      <c r="CX7" s="338">
        <v>2</v>
      </c>
      <c r="CY7" s="356" t="s">
        <v>70</v>
      </c>
      <c r="CZ7" s="105">
        <v>22837.065999999999</v>
      </c>
      <c r="DA7" s="357">
        <v>462836.85349999991</v>
      </c>
      <c r="DB7" s="105">
        <v>22840.665999999997</v>
      </c>
      <c r="DC7" s="20">
        <v>462892.65350000001</v>
      </c>
      <c r="DD7" s="20">
        <v>462892.6534999999</v>
      </c>
      <c r="DF7" s="106"/>
      <c r="DH7" s="338">
        <v>2</v>
      </c>
      <c r="DI7" s="356" t="s">
        <v>70</v>
      </c>
      <c r="DJ7" s="105">
        <v>171122.55001421802</v>
      </c>
      <c r="DK7" s="357">
        <v>5190526.0488</v>
      </c>
      <c r="DL7" s="105">
        <v>172014.32501421802</v>
      </c>
      <c r="DM7" s="358">
        <v>5622503.1129124369</v>
      </c>
      <c r="DQ7" s="338">
        <v>2</v>
      </c>
      <c r="DR7" s="359" t="s">
        <v>177</v>
      </c>
      <c r="DS7" s="20">
        <v>403477.63</v>
      </c>
      <c r="DT7" s="20">
        <v>460799.89</v>
      </c>
      <c r="DU7" s="20">
        <v>254199.13</v>
      </c>
      <c r="DV7" s="20">
        <v>1118476.6499999999</v>
      </c>
      <c r="DW7" s="15"/>
      <c r="DX7" s="20"/>
      <c r="DY7" s="20"/>
      <c r="DZ7" s="20"/>
      <c r="ED7" s="338">
        <v>2</v>
      </c>
      <c r="EE7" s="340" t="s">
        <v>178</v>
      </c>
      <c r="EF7" s="20">
        <v>65167.883999999998</v>
      </c>
      <c r="EG7" s="20">
        <v>886859.10999999987</v>
      </c>
      <c r="EH7" s="20">
        <v>2058497.3399999999</v>
      </c>
      <c r="EI7" s="343">
        <f>SUM(EF7:EH7)</f>
        <v>3010524.3339999998</v>
      </c>
      <c r="EJ7" s="20">
        <v>65167.884000000005</v>
      </c>
      <c r="EK7" s="20">
        <v>886859.1100000001</v>
      </c>
      <c r="EL7" s="20">
        <v>2058497.3400000003</v>
      </c>
      <c r="EM7" s="20">
        <f>SUM(EJ7:EL7)</f>
        <v>3010524.3340000003</v>
      </c>
      <c r="EN7" s="103"/>
      <c r="EO7" s="106"/>
      <c r="EQ7" s="338">
        <v>2</v>
      </c>
      <c r="ER7" s="340" t="s">
        <v>178</v>
      </c>
      <c r="ES7" s="20">
        <v>74943.56</v>
      </c>
      <c r="ET7" s="20">
        <v>93660.9</v>
      </c>
      <c r="EU7" s="20">
        <v>304468.08999999997</v>
      </c>
      <c r="EV7" s="343">
        <f>SUM(ES7:EU7)</f>
        <v>473072.54999999993</v>
      </c>
      <c r="EW7" s="20">
        <v>72151.375681818186</v>
      </c>
      <c r="EX7" s="20">
        <v>91744.566666666666</v>
      </c>
      <c r="EY7" s="20">
        <v>283929.38066666666</v>
      </c>
      <c r="EZ7" s="343">
        <f>SUM(EW7:EY7)</f>
        <v>447825.32301515155</v>
      </c>
      <c r="FA7" s="20">
        <f t="shared" si="0"/>
        <v>319869.22406621045</v>
      </c>
      <c r="FB7" s="20">
        <f>(EZ7/$EZ$9)*$FB$9</f>
        <v>128104.0994122023</v>
      </c>
      <c r="FC7" s="20">
        <f t="shared" ref="FC7:FC9" si="27">SUM(FA7:FB7)</f>
        <v>447973.32347841276</v>
      </c>
      <c r="FD7" s="103"/>
      <c r="FE7" s="106"/>
      <c r="FG7" s="338">
        <v>2</v>
      </c>
      <c r="FH7" s="360"/>
      <c r="FI7" s="361" t="s">
        <v>179</v>
      </c>
      <c r="FJ7" s="20">
        <v>182933.261</v>
      </c>
      <c r="FK7" s="20">
        <v>225954.03999999998</v>
      </c>
      <c r="FL7" s="20">
        <v>498555.36999999994</v>
      </c>
      <c r="FM7" s="343">
        <f t="shared" ref="FM7:FM20" si="28">FJ7+FL7+FK7</f>
        <v>907442.67099999986</v>
      </c>
      <c r="FN7" s="20">
        <v>185562.03433333334</v>
      </c>
      <c r="FO7" s="20">
        <v>226230.83999999997</v>
      </c>
      <c r="FP7" s="20">
        <v>498555.36999999994</v>
      </c>
      <c r="FQ7" s="20">
        <v>910348.24433333334</v>
      </c>
      <c r="FR7" s="20">
        <v>910348.24433333334</v>
      </c>
      <c r="FS7" s="300"/>
      <c r="FT7" s="95"/>
      <c r="FV7" s="338">
        <v>2</v>
      </c>
      <c r="FW7" s="340" t="s">
        <v>180</v>
      </c>
      <c r="FX7" s="20">
        <v>14732.02</v>
      </c>
      <c r="FY7" s="20">
        <v>2654</v>
      </c>
      <c r="FZ7" s="20">
        <v>0</v>
      </c>
      <c r="GA7" s="343">
        <v>17386.02</v>
      </c>
      <c r="GB7" s="20">
        <v>0</v>
      </c>
      <c r="GC7" s="20">
        <v>0</v>
      </c>
      <c r="GD7" s="20">
        <v>0</v>
      </c>
      <c r="GE7" s="343">
        <f t="shared" si="1"/>
        <v>0</v>
      </c>
      <c r="GF7" s="300"/>
      <c r="GG7" s="301"/>
      <c r="GI7" s="338">
        <v>2</v>
      </c>
      <c r="GJ7" s="362" t="s">
        <v>181</v>
      </c>
      <c r="GK7" s="20">
        <v>0</v>
      </c>
      <c r="GL7" s="20">
        <v>0</v>
      </c>
      <c r="GM7" s="20">
        <v>0</v>
      </c>
      <c r="GN7" s="343">
        <f t="shared" si="2"/>
        <v>0</v>
      </c>
      <c r="GO7" s="20">
        <v>0</v>
      </c>
      <c r="GP7" s="20">
        <v>0</v>
      </c>
      <c r="GQ7" s="20">
        <v>0</v>
      </c>
      <c r="GR7" s="343">
        <f t="shared" si="3"/>
        <v>0</v>
      </c>
      <c r="GS7" s="300"/>
      <c r="GT7" s="301"/>
      <c r="GV7" s="338">
        <v>2</v>
      </c>
      <c r="GW7" s="340" t="s">
        <v>182</v>
      </c>
      <c r="GX7" s="20">
        <v>27580.2</v>
      </c>
      <c r="GY7" s="20">
        <v>47921.2</v>
      </c>
      <c r="GZ7" s="20">
        <v>186977.88999999998</v>
      </c>
      <c r="HA7" s="343">
        <f t="shared" si="4"/>
        <v>262479.28999999998</v>
      </c>
      <c r="HB7" s="20">
        <v>0</v>
      </c>
      <c r="HC7" s="20">
        <v>0</v>
      </c>
      <c r="HD7" s="20">
        <v>0</v>
      </c>
      <c r="HE7" s="20">
        <v>0</v>
      </c>
      <c r="HF7" s="300"/>
      <c r="HG7" s="301"/>
      <c r="HI7" s="338">
        <v>2</v>
      </c>
      <c r="HJ7" s="363" t="s">
        <v>166</v>
      </c>
      <c r="HK7" s="20">
        <v>47236332.827358045</v>
      </c>
      <c r="HL7" s="20">
        <v>99374623.267200008</v>
      </c>
      <c r="HM7" s="20">
        <v>186734914.08160001</v>
      </c>
      <c r="HN7" s="343">
        <f>SUM(HK7:HM7)</f>
        <v>333345870.17615807</v>
      </c>
      <c r="HO7" s="20">
        <v>45358766.83995606</v>
      </c>
      <c r="HP7" s="20">
        <v>97716155.907619998</v>
      </c>
      <c r="HQ7" s="20">
        <v>184313460.52160001</v>
      </c>
      <c r="HR7" s="20">
        <f>SUM(HO7:HQ7)</f>
        <v>327388383.26917607</v>
      </c>
      <c r="HW7" s="338">
        <v>2</v>
      </c>
      <c r="HX7" s="322">
        <v>2</v>
      </c>
      <c r="HY7" s="322">
        <v>10</v>
      </c>
      <c r="HZ7" s="322">
        <v>9</v>
      </c>
      <c r="IA7" s="347">
        <v>15226542</v>
      </c>
      <c r="IB7" s="347">
        <v>13620382</v>
      </c>
      <c r="IC7" s="342">
        <f t="shared" si="5"/>
        <v>0.9</v>
      </c>
      <c r="ID7" s="342">
        <f t="shared" si="6"/>
        <v>0.89451577383755287</v>
      </c>
      <c r="IE7" s="344">
        <v>1</v>
      </c>
      <c r="IF7" s="344">
        <v>0</v>
      </c>
      <c r="IG7" s="344">
        <v>0</v>
      </c>
      <c r="II7" s="208"/>
      <c r="IK7" s="364">
        <v>2</v>
      </c>
      <c r="IL7" s="365">
        <v>2</v>
      </c>
      <c r="IM7" s="341">
        <f t="shared" si="7"/>
        <v>0.89451577383755287</v>
      </c>
      <c r="IN7" s="20">
        <v>0</v>
      </c>
      <c r="IO7" s="343">
        <f t="shared" ref="IO7:IO25" si="29">IM7*IN7</f>
        <v>0</v>
      </c>
      <c r="IP7" s="20">
        <v>1675007</v>
      </c>
      <c r="IQ7" s="343">
        <v>1500074</v>
      </c>
      <c r="IR7" s="20">
        <v>691463.46779999998</v>
      </c>
      <c r="IS7" s="343">
        <v>617536</v>
      </c>
      <c r="IT7" s="20">
        <v>217265.44049354317</v>
      </c>
      <c r="IU7" s="20">
        <v>194385.98130609185</v>
      </c>
      <c r="IV7" s="20">
        <f t="shared" ref="IV7:IW25" si="30">SUM(IN7,IR7,IT7)</f>
        <v>908728.90829354315</v>
      </c>
      <c r="IW7" s="20">
        <f t="shared" si="30"/>
        <v>811921.98130609188</v>
      </c>
      <c r="IX7" s="314"/>
      <c r="IY7" s="315"/>
      <c r="IZ7" s="314"/>
      <c r="JA7" s="366">
        <v>2</v>
      </c>
      <c r="JB7" s="365">
        <v>2</v>
      </c>
      <c r="JC7" s="367">
        <f t="shared" si="8"/>
        <v>0.9</v>
      </c>
      <c r="JD7" s="368">
        <f t="shared" si="8"/>
        <v>0.89451577383755287</v>
      </c>
      <c r="JE7" s="20">
        <v>384379.79883572698</v>
      </c>
      <c r="JF7" s="343">
        <f>JE7*$JD7</f>
        <v>343833.79320306325</v>
      </c>
      <c r="JG7" s="20">
        <v>15229.213</v>
      </c>
      <c r="JH7" s="343">
        <f t="shared" ref="JH7:JH25" si="31">JG7*$JD7</f>
        <v>13622.771251631921</v>
      </c>
      <c r="JI7" s="20">
        <v>130114.52976427312</v>
      </c>
      <c r="JJ7" s="343">
        <f t="shared" ref="JJ7:JJ25" si="32">JI7*JC7</f>
        <v>117103.07678784581</v>
      </c>
      <c r="JK7" s="20">
        <v>338384.66274016834</v>
      </c>
      <c r="JL7" s="343">
        <v>313094.17698303401</v>
      </c>
      <c r="JM7" s="20">
        <v>63787.200800000013</v>
      </c>
      <c r="JN7" s="343">
        <f t="shared" ref="JN7:JN24" si="33">JM7*$JD7</f>
        <v>57058.657284543384</v>
      </c>
      <c r="JO7" s="20">
        <v>16205.010000000002</v>
      </c>
      <c r="JP7" s="343">
        <f t="shared" ref="JP7:JP25" si="34">JO7*$JD7</f>
        <v>14495.637060195284</v>
      </c>
      <c r="JQ7" s="20">
        <v>44486.950000000004</v>
      </c>
      <c r="JR7" s="343">
        <f t="shared" ref="JR7:JR25" si="35">JQ7*$JD7</f>
        <v>39794.278504922528</v>
      </c>
      <c r="JS7" s="20">
        <v>145665.37959999999</v>
      </c>
      <c r="JT7" s="343">
        <f t="shared" ref="JT7:JT25" si="36">JS7*$JD7</f>
        <v>130299.97975423488</v>
      </c>
      <c r="JU7" s="20">
        <f t="shared" ref="JU7:JV26" si="37">JE7+JG7+JI7+JK7+JM7+JQ7+JS7+JO7</f>
        <v>1138252.7447401683</v>
      </c>
      <c r="JV7" s="20">
        <f t="shared" si="37"/>
        <v>1029302.370829471</v>
      </c>
      <c r="JW7" s="369">
        <f t="shared" si="9"/>
        <v>7.5570741762563713</v>
      </c>
      <c r="KA7" s="338">
        <v>2</v>
      </c>
      <c r="KB7" s="322">
        <v>2</v>
      </c>
      <c r="KC7" s="518">
        <f t="shared" si="10"/>
        <v>9</v>
      </c>
      <c r="KD7" s="518">
        <f t="shared" si="11"/>
        <v>9</v>
      </c>
      <c r="KE7" s="370">
        <f t="shared" si="12"/>
        <v>13620382</v>
      </c>
      <c r="KF7" s="370">
        <f t="shared" si="13"/>
        <v>14134535.55877745</v>
      </c>
      <c r="KG7" s="371">
        <f t="shared" ref="KG7:KG26" si="38">KD7/KC7</f>
        <v>1</v>
      </c>
      <c r="KH7" s="371">
        <f t="shared" ref="KH7:KH26" si="39">KF7/KE7</f>
        <v>1.0377488354421667</v>
      </c>
      <c r="KI7" s="371">
        <f t="shared" ref="KI7:KI25" si="40">LZ8/LY8</f>
        <v>0.98904495541318505</v>
      </c>
      <c r="KJ7" s="322" t="s">
        <v>256</v>
      </c>
      <c r="KK7" s="322"/>
      <c r="KL7" s="323"/>
      <c r="KM7" s="322"/>
      <c r="KN7" s="338">
        <v>2</v>
      </c>
      <c r="KO7" s="322">
        <v>2</v>
      </c>
      <c r="KP7" s="372" t="str">
        <f t="shared" si="14"/>
        <v>Q3</v>
      </c>
      <c r="KQ7" s="373">
        <f t="shared" si="15"/>
        <v>0.98904495541318505</v>
      </c>
      <c r="KR7" s="358">
        <f t="shared" ref="KR7:KR25" si="41">IO7</f>
        <v>0</v>
      </c>
      <c r="KS7" s="358">
        <f t="shared" ref="KS7:KS25" si="42">KR7*KI7</f>
        <v>0</v>
      </c>
      <c r="KT7" s="358">
        <f t="shared" si="16"/>
        <v>1500074</v>
      </c>
      <c r="KU7" s="358">
        <f t="shared" ref="KU7:KU25" si="43">IB7/$IB$26*$KU$26</f>
        <v>1546545.8168502497</v>
      </c>
      <c r="KV7" s="358">
        <f t="shared" si="17"/>
        <v>617536</v>
      </c>
      <c r="KW7" s="358">
        <f t="shared" si="18"/>
        <v>848972.8199000879</v>
      </c>
      <c r="KX7" s="358">
        <f t="shared" ref="KX7:KX25" si="44">IU7</f>
        <v>194385.98130609185</v>
      </c>
      <c r="KY7" s="358">
        <f t="shared" ref="KY7:KY25" si="45">IB7/$IB$26*$KY$26</f>
        <v>30683.343093946034</v>
      </c>
      <c r="KZ7" s="358">
        <f t="shared" ref="KZ7:LA25" si="46">SUM(KR7,KV7,KX7)</f>
        <v>811921.98130609188</v>
      </c>
      <c r="LA7" s="358">
        <f t="shared" si="46"/>
        <v>879656.16299403389</v>
      </c>
      <c r="LB7" s="326"/>
      <c r="LC7" s="323"/>
      <c r="LD7" s="322"/>
      <c r="LE7" s="374">
        <f>LE6+1</f>
        <v>2</v>
      </c>
      <c r="LF7" s="375">
        <v>1</v>
      </c>
      <c r="LG7" s="376">
        <f>KG6</f>
        <v>1</v>
      </c>
      <c r="LH7" s="376">
        <f>KH6</f>
        <v>1.0377488354421667</v>
      </c>
      <c r="LI7" s="377">
        <v>106.45762205358784</v>
      </c>
      <c r="LJ7" s="290">
        <f>JF6*LJ$6/LI7*LH7</f>
        <v>327743.20556042745</v>
      </c>
      <c r="LK7" s="377">
        <v>106.45762205358784</v>
      </c>
      <c r="LL7" s="290">
        <f t="shared" ref="LL7:LL26" si="47">JH6*LL$6/LK7*LH7</f>
        <v>27013.599759020981</v>
      </c>
      <c r="LM7" s="377">
        <v>106.45762205358784</v>
      </c>
      <c r="LN7" s="290">
        <f t="shared" ref="LN7:LN26" si="48">JJ6*LN$6/LM7*LG7</f>
        <v>361341.52825430036</v>
      </c>
      <c r="LO7" s="377">
        <v>118.614283549666</v>
      </c>
      <c r="LP7" s="290">
        <f>JL6*LP$6/LO7*LG7</f>
        <v>854431.6202038381</v>
      </c>
      <c r="LQ7" s="377">
        <v>119.48337591187899</v>
      </c>
      <c r="LR7" s="290">
        <f t="shared" ref="LR7:LR26" si="49">JN6*LR$6/LQ7*LH7</f>
        <v>8787.1013253432811</v>
      </c>
      <c r="LS7" s="377">
        <v>157.07111615098</v>
      </c>
      <c r="LT7" s="290">
        <f t="shared" ref="LT7:LT26" si="50">JP6*LT$6/LS7*LH7</f>
        <v>42048.577690430815</v>
      </c>
      <c r="LU7" s="377">
        <v>112.15574935818501</v>
      </c>
      <c r="LV7" s="290">
        <f t="shared" ref="LV7:LV26" si="51">JR6*LV$6/LU7*$LH7</f>
        <v>43944.33216746059</v>
      </c>
      <c r="LW7" s="377">
        <v>116.939890710382</v>
      </c>
      <c r="LX7" s="378">
        <f t="shared" ref="LX7:LX26" si="52">JT6*LX$6/LW7*$LH7</f>
        <v>191738.83109176764</v>
      </c>
      <c r="LY7" s="379">
        <f t="shared" ref="LY7:LY26" si="53">JV6</f>
        <v>1884160.389821395</v>
      </c>
      <c r="LZ7" s="379">
        <f>LJ7+LL7+LN7+LP7+LR7+LV7+LX7+LT7</f>
        <v>1857048.7960525895</v>
      </c>
      <c r="MA7" s="103"/>
      <c r="MB7" s="335"/>
      <c r="MD7" s="338">
        <v>2</v>
      </c>
      <c r="ME7" s="380">
        <v>2</v>
      </c>
      <c r="MF7" s="20">
        <f t="shared" si="19"/>
        <v>908728.90829354315</v>
      </c>
      <c r="MG7" s="20">
        <f t="shared" si="19"/>
        <v>811921.98130609188</v>
      </c>
      <c r="MH7" s="343">
        <f t="shared" si="20"/>
        <v>879656.16299403389</v>
      </c>
      <c r="MI7" s="20">
        <f t="shared" si="21"/>
        <v>1138252.7447401683</v>
      </c>
      <c r="MJ7" s="20">
        <f t="shared" si="21"/>
        <v>1029302.370829471</v>
      </c>
      <c r="MK7" s="343">
        <f t="shared" ref="MK7:MK25" si="54">LZ8</f>
        <v>1018026.3174637199</v>
      </c>
      <c r="ML7" s="15">
        <f t="shared" ref="ML7:MN26" si="55">MF7-MI7</f>
        <v>-229523.83644662518</v>
      </c>
      <c r="MM7" s="20">
        <f t="shared" si="55"/>
        <v>-217380.38952337916</v>
      </c>
      <c r="MN7" s="20">
        <f t="shared" si="55"/>
        <v>-138370.15446968598</v>
      </c>
      <c r="MP7" s="337"/>
      <c r="MQ7" s="98"/>
      <c r="MR7" s="338">
        <f>MR6+1</f>
        <v>2</v>
      </c>
      <c r="MS7" s="346" t="s">
        <v>183</v>
      </c>
      <c r="MT7" s="20">
        <v>93608877.605802789</v>
      </c>
      <c r="MU7" s="98"/>
      <c r="MV7" s="337"/>
      <c r="MW7" s="98"/>
      <c r="MX7" s="283">
        <v>1</v>
      </c>
      <c r="MY7" s="285" t="s">
        <v>166</v>
      </c>
      <c r="MZ7" s="17">
        <f>N7</f>
        <v>371540376.1521095</v>
      </c>
      <c r="NA7" s="381">
        <f t="shared" ref="NA7:NA12" si="56">MZ7/$MZ$34*100</f>
        <v>16.947982668328549</v>
      </c>
      <c r="NB7" s="97"/>
      <c r="NC7" s="18">
        <f>NC8+NC9</f>
        <v>348001698.54407996</v>
      </c>
      <c r="ND7" s="381">
        <f t="shared" ref="ND7:ND12" si="57">NC7/$ND$34*100</f>
        <v>15.874255219732403</v>
      </c>
      <c r="NF7" s="337"/>
      <c r="NG7" s="98"/>
      <c r="NH7" s="283">
        <v>1</v>
      </c>
      <c r="NI7" s="285" t="str">
        <f t="shared" ref="NI7:NI21" si="58">MY7</f>
        <v>Revenue</v>
      </c>
      <c r="NJ7" s="17">
        <v>341824682.26215607</v>
      </c>
      <c r="NK7" s="17">
        <f>MZ7</f>
        <v>371540376.1521095</v>
      </c>
      <c r="NL7" s="17">
        <f>NK7-NJ7</f>
        <v>29715693.889953434</v>
      </c>
      <c r="NM7" s="383">
        <f>NL7/NJ7</f>
        <v>8.693255762953811E-2</v>
      </c>
      <c r="NO7" s="337"/>
      <c r="NP7" s="98"/>
    </row>
    <row r="8" spans="2:387" x14ac:dyDescent="0.3">
      <c r="B8" s="265">
        <f>B7+1</f>
        <v>3</v>
      </c>
      <c r="C8" s="384"/>
      <c r="D8" s="97"/>
      <c r="E8" s="286" t="s">
        <v>184</v>
      </c>
      <c r="F8" s="18">
        <f>HN8</f>
        <v>228950330.75</v>
      </c>
      <c r="G8" s="313">
        <f t="shared" si="22"/>
        <v>11.015760438596976</v>
      </c>
      <c r="H8" s="18">
        <f>HR8</f>
        <v>229512596.2469697</v>
      </c>
      <c r="I8" s="309">
        <f t="shared" si="23"/>
        <v>11.016280589525049</v>
      </c>
      <c r="J8" s="290">
        <f t="shared" ref="J8:J22" si="59">H8-F8</f>
        <v>562265.49696969986</v>
      </c>
      <c r="K8" s="18">
        <f>IQ26</f>
        <v>229425276</v>
      </c>
      <c r="L8" s="309">
        <f t="shared" si="24"/>
        <v>10.860392278004865</v>
      </c>
      <c r="M8" s="290">
        <f t="shared" ref="M8:M22" si="60">K8-H8</f>
        <v>-87320.24696969986</v>
      </c>
      <c r="N8" s="18">
        <f>KU26</f>
        <v>239866309.41368827</v>
      </c>
      <c r="O8" s="309">
        <f t="shared" si="25"/>
        <v>10.941610429426921</v>
      </c>
      <c r="P8" s="290">
        <f t="shared" ref="P8:P22" si="61">N8-K8</f>
        <v>10441033.413688272</v>
      </c>
      <c r="Q8" s="18">
        <f t="shared" ref="Q8:Q22" si="62">N8-F8</f>
        <v>10915978.663688272</v>
      </c>
      <c r="R8" s="310">
        <f t="shared" ref="R8:R22" si="63">O8/G8-1</f>
        <v>-6.7312655883698946E-3</v>
      </c>
      <c r="V8" s="385">
        <f t="shared" ref="V8:V20" si="64">V7+1</f>
        <v>2</v>
      </c>
      <c r="W8" s="386" t="s">
        <v>185</v>
      </c>
      <c r="X8" s="387">
        <f>X7/F$24*100</f>
        <v>-1.1104857002027421E-2</v>
      </c>
      <c r="Y8" s="309">
        <f>Y7/F$24*100</f>
        <v>8.0679883899836047E-2</v>
      </c>
      <c r="Z8" s="309">
        <f>Z7/F$24*100</f>
        <v>0.18759731573341304</v>
      </c>
      <c r="AA8" s="309">
        <f>AA7/F$24*100</f>
        <v>0.25717234263122168</v>
      </c>
      <c r="AB8" s="342"/>
      <c r="AC8" s="348"/>
      <c r="AF8" s="385">
        <f>AF7+1</f>
        <v>2</v>
      </c>
      <c r="AG8" s="388" t="s">
        <v>186</v>
      </c>
      <c r="AH8" s="389">
        <f>AH7*3600/F$24</f>
        <v>3.0628991641755077</v>
      </c>
      <c r="AI8" s="389">
        <f>AI7*3600/F$24</f>
        <v>0.19180514539301818</v>
      </c>
      <c r="AJ8" s="389">
        <f>AJ7*3600/F$24</f>
        <v>0.91841218892250864</v>
      </c>
      <c r="AN8" s="283">
        <v>3</v>
      </c>
      <c r="AO8" s="390"/>
      <c r="AP8" s="97"/>
      <c r="AQ8" s="391" t="s">
        <v>184</v>
      </c>
      <c r="AR8" s="286"/>
      <c r="AS8" s="392">
        <v>79503570.349999994</v>
      </c>
      <c r="AT8" s="393">
        <v>7.7528122997362363</v>
      </c>
      <c r="AU8" s="394"/>
      <c r="AV8" s="392">
        <v>82983136.416666657</v>
      </c>
      <c r="AW8" s="393">
        <v>7.689473162491363</v>
      </c>
      <c r="AX8" s="383">
        <f>AW8/AT8-1</f>
        <v>-8.1698272570107644E-3</v>
      </c>
      <c r="AY8" s="394"/>
      <c r="AZ8" s="392">
        <v>98672863.5</v>
      </c>
      <c r="BA8" s="393">
        <v>7.6482480685877787</v>
      </c>
      <c r="BB8" s="383">
        <f>BA8/AW8-1</f>
        <v>-5.3612377639442599E-3</v>
      </c>
      <c r="BC8" s="394"/>
      <c r="BD8" s="392">
        <v>111397202</v>
      </c>
      <c r="BE8" s="393">
        <v>7.5748932801967008</v>
      </c>
      <c r="BF8" s="383">
        <f>BE8/BA8-1</f>
        <v>-9.5910576818701854E-3</v>
      </c>
      <c r="BG8" s="394"/>
      <c r="BH8" s="392">
        <v>116322907.89166664</v>
      </c>
      <c r="BI8" s="393">
        <v>7.6546287169214136</v>
      </c>
      <c r="BJ8" s="383">
        <f>BI8/BE8-1</f>
        <v>1.0526278559351843E-2</v>
      </c>
      <c r="BK8" s="394"/>
      <c r="BL8" s="392">
        <v>174683793.20000002</v>
      </c>
      <c r="BM8" s="393">
        <v>10.384673130282241</v>
      </c>
      <c r="BN8" s="383">
        <f>BM8/BI8-1</f>
        <v>0.35665275408143038</v>
      </c>
      <c r="BO8" s="394"/>
      <c r="BP8" s="392">
        <v>208646041.65000004</v>
      </c>
      <c r="BQ8" s="393">
        <v>11.249033527135891</v>
      </c>
      <c r="BR8" s="383">
        <f>BQ8/BM8-1</f>
        <v>8.3234242042065976E-2</v>
      </c>
      <c r="BS8" s="394"/>
      <c r="BT8" s="97">
        <v>219246568.60000002</v>
      </c>
      <c r="BU8" s="97">
        <v>11.174331831570692</v>
      </c>
      <c r="BV8" s="97">
        <f>BU8/BQ8-1</f>
        <v>-6.6407212126265991E-3</v>
      </c>
      <c r="BW8" s="18">
        <v>215103150.44999999</v>
      </c>
      <c r="BX8" s="19">
        <v>11.112344701929782</v>
      </c>
      <c r="BY8" s="19">
        <f t="shared" ref="BY8:BY20" si="65">BX8/BU8-1</f>
        <v>-5.5472784033295808E-3</v>
      </c>
      <c r="BZ8" s="19">
        <v>224292117.40000001</v>
      </c>
      <c r="CA8" s="19">
        <v>10.99526613822796</v>
      </c>
      <c r="CB8" s="19">
        <f t="shared" ref="CB8:CB20" si="66">CA8/BX8-1</f>
        <v>-1.0535901003996928E-2</v>
      </c>
      <c r="CC8" s="18">
        <f t="shared" si="26"/>
        <v>228950330.75</v>
      </c>
      <c r="CD8" s="19">
        <f t="shared" si="26"/>
        <v>11.015760438596976</v>
      </c>
      <c r="CE8" s="395">
        <f t="shared" ref="CE8:CE11" si="67">CD8/CA8-1</f>
        <v>1.8639203554848827E-3</v>
      </c>
      <c r="CF8" s="396">
        <f t="shared" ref="CF8:CF19" si="68">CC8/AS8-1</f>
        <v>1.8797490445031317</v>
      </c>
      <c r="CG8" s="395">
        <f t="shared" ref="CG8:CG11" si="69">(CF8+1)^(1/(2022-2004))-1</f>
        <v>6.0522049356856567E-2</v>
      </c>
      <c r="CK8" s="397">
        <v>3</v>
      </c>
      <c r="CL8" s="398" t="s">
        <v>71</v>
      </c>
      <c r="CM8" s="399">
        <v>999534.17312285723</v>
      </c>
      <c r="CN8" s="400">
        <v>18342221.399999995</v>
      </c>
      <c r="CO8" s="400">
        <v>2810283.7204999998</v>
      </c>
      <c r="CP8" s="401">
        <f>CO8+CN8</f>
        <v>21152505.120499995</v>
      </c>
      <c r="CQ8" s="399">
        <v>999534.17312285712</v>
      </c>
      <c r="CR8" s="400">
        <v>18342221.399999995</v>
      </c>
      <c r="CS8" s="400">
        <v>2082964.1689398875</v>
      </c>
      <c r="CT8" s="400">
        <f>CS8+CR8</f>
        <v>20425185.568939883</v>
      </c>
      <c r="CU8" s="291"/>
      <c r="CV8" s="106"/>
      <c r="CX8" s="397">
        <v>3</v>
      </c>
      <c r="CY8" s="402" t="s">
        <v>71</v>
      </c>
      <c r="CZ8" s="403">
        <v>60825.537499999991</v>
      </c>
      <c r="DA8" s="401">
        <v>1112961.7635000001</v>
      </c>
      <c r="DB8" s="403">
        <v>60825.537500000006</v>
      </c>
      <c r="DC8" s="400">
        <v>1112961.7634999999</v>
      </c>
      <c r="DD8" s="400">
        <v>1112961.7635000001</v>
      </c>
      <c r="DF8" s="106"/>
      <c r="DH8" s="397">
        <v>3</v>
      </c>
      <c r="DI8" s="402" t="s">
        <v>71</v>
      </c>
      <c r="DJ8" s="403">
        <v>233411.5000875534</v>
      </c>
      <c r="DK8" s="401">
        <v>7552344.527499998</v>
      </c>
      <c r="DL8" s="403">
        <v>233411.50008755337</v>
      </c>
      <c r="DM8" s="400">
        <v>8279664.0790601084</v>
      </c>
      <c r="DQ8" s="283">
        <v>3</v>
      </c>
      <c r="DR8" s="404" t="s">
        <v>187</v>
      </c>
      <c r="DS8" s="17">
        <v>2446443.2899999996</v>
      </c>
      <c r="DT8" s="17">
        <v>5284394.74</v>
      </c>
      <c r="DU8" s="17">
        <v>13190868.600000001</v>
      </c>
      <c r="DV8" s="17">
        <v>20921706.630000003</v>
      </c>
      <c r="DW8" s="18"/>
      <c r="DX8" s="17"/>
      <c r="DY8" s="17"/>
      <c r="DZ8" s="17"/>
      <c r="EA8" s="96"/>
      <c r="EB8" s="94"/>
      <c r="EC8" s="96"/>
      <c r="ED8" s="397">
        <v>3</v>
      </c>
      <c r="EE8" s="405" t="s">
        <v>188</v>
      </c>
      <c r="EF8" s="17">
        <v>109637.90600000002</v>
      </c>
      <c r="EG8" s="17">
        <v>202412.08</v>
      </c>
      <c r="EH8" s="17">
        <v>534797.69999999995</v>
      </c>
      <c r="EI8" s="290">
        <f>SUM(EF8:EH8)</f>
        <v>846847.68599999999</v>
      </c>
      <c r="EJ8" s="17">
        <v>110983.40599999999</v>
      </c>
      <c r="EK8" s="17">
        <v>202412.08000000005</v>
      </c>
      <c r="EL8" s="17">
        <v>534797.69999999995</v>
      </c>
      <c r="EM8" s="17">
        <f>SUM(EJ8:EL8)</f>
        <v>848193.18599999999</v>
      </c>
      <c r="EN8" s="103"/>
      <c r="EO8" s="106"/>
      <c r="EQ8" s="397">
        <v>3</v>
      </c>
      <c r="ER8" s="405" t="s">
        <v>188</v>
      </c>
      <c r="ES8" s="17">
        <v>821828.23680000007</v>
      </c>
      <c r="ET8" s="17">
        <v>820963.00999999989</v>
      </c>
      <c r="EU8" s="17">
        <v>978003.62</v>
      </c>
      <c r="EV8" s="290">
        <f>SUM(ES8:EU8)</f>
        <v>2620794.8668</v>
      </c>
      <c r="EW8" s="17">
        <v>774178.11871818162</v>
      </c>
      <c r="EX8" s="17">
        <v>790354.6412999999</v>
      </c>
      <c r="EY8" s="17">
        <v>956467.4888833334</v>
      </c>
      <c r="EZ8" s="290">
        <f>SUM(EW8:EY8)</f>
        <v>2521000.2489015148</v>
      </c>
      <c r="FA8" s="17">
        <f>(EZ8/$EZ$9)*$FA$9</f>
        <v>1800680.6494494905</v>
      </c>
      <c r="FB8" s="17">
        <f>(EZ8/$EZ$9)*$FB$9</f>
        <v>721152.75734985585</v>
      </c>
      <c r="FC8" s="17">
        <f t="shared" si="27"/>
        <v>2521833.4067993462</v>
      </c>
      <c r="FD8" s="103"/>
      <c r="FE8" s="106"/>
      <c r="FG8" s="283">
        <f>FG7+1</f>
        <v>3</v>
      </c>
      <c r="FH8" s="406"/>
      <c r="FI8" s="407" t="s">
        <v>189</v>
      </c>
      <c r="FJ8" s="17">
        <v>152009.04440000001</v>
      </c>
      <c r="FK8" s="17">
        <v>247630.06</v>
      </c>
      <c r="FL8" s="17">
        <v>470678.5</v>
      </c>
      <c r="FM8" s="290">
        <f t="shared" si="28"/>
        <v>870317.60440000007</v>
      </c>
      <c r="FN8" s="17">
        <v>153033.9534909091</v>
      </c>
      <c r="FO8" s="17">
        <v>247702.86000000002</v>
      </c>
      <c r="FP8" s="17">
        <v>470678.49999999988</v>
      </c>
      <c r="FQ8" s="17">
        <v>871415.31349090894</v>
      </c>
      <c r="FR8" s="17">
        <v>871415.31349090894</v>
      </c>
      <c r="FS8" s="103"/>
      <c r="FT8" s="408"/>
      <c r="FV8" s="283">
        <v>3</v>
      </c>
      <c r="FW8" s="286" t="s">
        <v>190</v>
      </c>
      <c r="FX8" s="17">
        <v>9186.32</v>
      </c>
      <c r="FY8" s="17">
        <v>31597.083899999998</v>
      </c>
      <c r="FZ8" s="17">
        <v>271608.79000000004</v>
      </c>
      <c r="GA8" s="290">
        <v>312392.19390000001</v>
      </c>
      <c r="GB8" s="17">
        <v>0</v>
      </c>
      <c r="GC8" s="17">
        <v>0</v>
      </c>
      <c r="GD8" s="17">
        <v>0</v>
      </c>
      <c r="GE8" s="290">
        <f t="shared" si="1"/>
        <v>0</v>
      </c>
      <c r="GF8" s="300"/>
      <c r="GG8" s="301"/>
      <c r="GI8" s="283">
        <v>3</v>
      </c>
      <c r="GJ8" s="97" t="s">
        <v>191</v>
      </c>
      <c r="GK8" s="17">
        <v>0</v>
      </c>
      <c r="GL8" s="17">
        <v>0</v>
      </c>
      <c r="GM8" s="17">
        <v>0</v>
      </c>
      <c r="GN8" s="290">
        <f t="shared" si="2"/>
        <v>0</v>
      </c>
      <c r="GO8" s="17">
        <v>0</v>
      </c>
      <c r="GP8" s="17">
        <v>0</v>
      </c>
      <c r="GQ8" s="17">
        <v>0</v>
      </c>
      <c r="GR8" s="290">
        <f t="shared" si="3"/>
        <v>0</v>
      </c>
      <c r="GS8" s="300"/>
      <c r="GT8" s="301"/>
      <c r="GV8" s="283">
        <v>3</v>
      </c>
      <c r="GW8" s="286" t="s">
        <v>192</v>
      </c>
      <c r="GX8" s="17">
        <v>0</v>
      </c>
      <c r="GY8" s="17">
        <v>0</v>
      </c>
      <c r="GZ8" s="17">
        <v>1064.96</v>
      </c>
      <c r="HA8" s="290">
        <f t="shared" si="4"/>
        <v>1064.96</v>
      </c>
      <c r="HB8" s="17">
        <v>0</v>
      </c>
      <c r="HC8" s="17">
        <v>0</v>
      </c>
      <c r="HD8" s="17">
        <v>1064.96</v>
      </c>
      <c r="HE8" s="17">
        <f>SUM(HB8:HD8)</f>
        <v>1064.96</v>
      </c>
      <c r="HF8" s="300"/>
      <c r="HG8" s="301"/>
      <c r="HI8" s="283">
        <v>3</v>
      </c>
      <c r="HJ8" s="409" t="s">
        <v>193</v>
      </c>
      <c r="HK8" s="17">
        <v>31688402</v>
      </c>
      <c r="HL8" s="17">
        <v>68501616</v>
      </c>
      <c r="HM8" s="17">
        <v>128760312.75</v>
      </c>
      <c r="HN8" s="290">
        <f>SUM(HK8:HM8)</f>
        <v>228950330.75</v>
      </c>
      <c r="HO8" s="17">
        <v>32082866.696969695</v>
      </c>
      <c r="HP8" s="17">
        <v>68669416.799999997</v>
      </c>
      <c r="HQ8" s="17">
        <v>128760312.75</v>
      </c>
      <c r="HR8" s="17">
        <f>SUM(HO8:HQ8)</f>
        <v>229512596.2469697</v>
      </c>
      <c r="HW8" s="283">
        <v>3</v>
      </c>
      <c r="HX8" s="306">
        <v>3</v>
      </c>
      <c r="HY8" s="306">
        <v>10</v>
      </c>
      <c r="HZ8" s="306">
        <v>12</v>
      </c>
      <c r="IA8" s="307">
        <v>19107204</v>
      </c>
      <c r="IB8" s="307">
        <v>22865469</v>
      </c>
      <c r="IC8" s="309">
        <f t="shared" si="5"/>
        <v>1.2</v>
      </c>
      <c r="ID8" s="309">
        <f t="shared" si="6"/>
        <v>1.1966936135710908</v>
      </c>
      <c r="IE8" s="310">
        <v>1</v>
      </c>
      <c r="IF8" s="310">
        <v>0</v>
      </c>
      <c r="IG8" s="310">
        <v>0</v>
      </c>
      <c r="IK8" s="410">
        <v>3</v>
      </c>
      <c r="IL8" s="317">
        <v>3</v>
      </c>
      <c r="IM8" s="313">
        <f t="shared" si="7"/>
        <v>1.1966936135710908</v>
      </c>
      <c r="IN8" s="17">
        <v>0</v>
      </c>
      <c r="IO8" s="290">
        <f t="shared" si="29"/>
        <v>0</v>
      </c>
      <c r="IP8" s="17">
        <v>2081441.3333333333</v>
      </c>
      <c r="IQ8" s="290">
        <v>2485936</v>
      </c>
      <c r="IR8" s="17">
        <v>855076.09094999998</v>
      </c>
      <c r="IS8" s="290">
        <v>1014416</v>
      </c>
      <c r="IT8" s="17">
        <v>225000</v>
      </c>
      <c r="IU8" s="17">
        <v>270000</v>
      </c>
      <c r="IV8" s="17">
        <f t="shared" si="30"/>
        <v>1080076.0909500001</v>
      </c>
      <c r="IW8" s="17">
        <f t="shared" si="30"/>
        <v>1284416</v>
      </c>
      <c r="IX8" s="314"/>
      <c r="IY8" s="315"/>
      <c r="IZ8" s="314"/>
      <c r="JA8" s="316">
        <v>3</v>
      </c>
      <c r="JB8" s="317">
        <v>3</v>
      </c>
      <c r="JC8" s="318">
        <f t="shared" si="8"/>
        <v>1.2</v>
      </c>
      <c r="JD8" s="319">
        <f t="shared" si="8"/>
        <v>1.1966936135710908</v>
      </c>
      <c r="JE8" s="17">
        <v>347788.07813316374</v>
      </c>
      <c r="JF8" s="290">
        <f t="shared" ref="JF8:JF25" si="70">JE8*$JD8</f>
        <v>416195.77197812061</v>
      </c>
      <c r="JG8" s="17">
        <v>43518.84</v>
      </c>
      <c r="JH8" s="290">
        <f t="shared" si="31"/>
        <v>52078.717898022129</v>
      </c>
      <c r="JI8" s="17">
        <v>277626.58186683635</v>
      </c>
      <c r="JJ8" s="290">
        <f t="shared" si="32"/>
        <v>333151.89824020362</v>
      </c>
      <c r="JK8" s="17">
        <v>372202.0235549981</v>
      </c>
      <c r="JL8" s="290">
        <v>425726.49232872151</v>
      </c>
      <c r="JM8" s="17">
        <v>34439.39999999998</v>
      </c>
      <c r="JN8" s="290">
        <f t="shared" si="33"/>
        <v>41213.4100352202</v>
      </c>
      <c r="JO8" s="17">
        <v>47062.981999999989</v>
      </c>
      <c r="JP8" s="290">
        <f t="shared" si="34"/>
        <v>56319.96999501119</v>
      </c>
      <c r="JQ8" s="17">
        <v>26193.61</v>
      </c>
      <c r="JR8" s="290">
        <f t="shared" si="35"/>
        <v>31345.725803371861</v>
      </c>
      <c r="JS8" s="17">
        <v>128791.51393333332</v>
      </c>
      <c r="JT8" s="290">
        <f t="shared" si="36"/>
        <v>154123.98220617214</v>
      </c>
      <c r="JU8" s="17">
        <f t="shared" si="37"/>
        <v>1277623.0294883316</v>
      </c>
      <c r="JV8" s="17">
        <f t="shared" si="37"/>
        <v>1510155.9684848431</v>
      </c>
      <c r="JW8" s="320">
        <f t="shared" si="9"/>
        <v>6.604526539494306</v>
      </c>
      <c r="KA8" s="283">
        <v>3</v>
      </c>
      <c r="KB8" s="306">
        <v>3</v>
      </c>
      <c r="KC8" s="97">
        <f t="shared" si="10"/>
        <v>12</v>
      </c>
      <c r="KD8" s="97">
        <f t="shared" si="11"/>
        <v>12</v>
      </c>
      <c r="KE8" s="289">
        <f t="shared" si="12"/>
        <v>22865469</v>
      </c>
      <c r="KF8" s="289">
        <f t="shared" si="13"/>
        <v>23728613.826588962</v>
      </c>
      <c r="KG8" s="321">
        <f t="shared" si="38"/>
        <v>1</v>
      </c>
      <c r="KH8" s="321">
        <f t="shared" si="39"/>
        <v>1.0377488354421667</v>
      </c>
      <c r="KI8" s="321">
        <f t="shared" si="40"/>
        <v>1.0446018502782586</v>
      </c>
      <c r="KJ8" s="306" t="s">
        <v>440</v>
      </c>
      <c r="KK8" s="322"/>
      <c r="KL8" s="323"/>
      <c r="KM8" s="322"/>
      <c r="KN8" s="283">
        <v>3</v>
      </c>
      <c r="KO8" s="306">
        <v>3</v>
      </c>
      <c r="KP8" s="324" t="str">
        <f t="shared" si="14"/>
        <v>Q4</v>
      </c>
      <c r="KQ8" s="325">
        <f t="shared" si="15"/>
        <v>1.0446018502782586</v>
      </c>
      <c r="KR8" s="17">
        <f t="shared" si="41"/>
        <v>0</v>
      </c>
      <c r="KS8" s="17">
        <f t="shared" si="42"/>
        <v>0</v>
      </c>
      <c r="KT8" s="17">
        <f t="shared" si="16"/>
        <v>2485936</v>
      </c>
      <c r="KU8" s="17">
        <f t="shared" si="43"/>
        <v>2596292.485208496</v>
      </c>
      <c r="KV8" s="17">
        <f t="shared" si="17"/>
        <v>1014416</v>
      </c>
      <c r="KW8" s="17">
        <f t="shared" si="18"/>
        <v>1425228.873556413</v>
      </c>
      <c r="KX8" s="17">
        <f t="shared" si="44"/>
        <v>270000</v>
      </c>
      <c r="KY8" s="17">
        <f t="shared" si="45"/>
        <v>51510.231528821081</v>
      </c>
      <c r="KZ8" s="17">
        <f t="shared" si="46"/>
        <v>1284416</v>
      </c>
      <c r="LA8" s="17">
        <f t="shared" si="46"/>
        <v>1476739.1050852342</v>
      </c>
      <c r="LB8" s="326"/>
      <c r="LC8" s="323"/>
      <c r="LD8" s="322"/>
      <c r="LE8" s="364">
        <f t="shared" ref="LE8:LE28" si="71">LE7+1</f>
        <v>3</v>
      </c>
      <c r="LF8" s="365">
        <v>2</v>
      </c>
      <c r="LG8" s="411">
        <f t="shared" ref="LG8:LH27" si="72">KG7</f>
        <v>1</v>
      </c>
      <c r="LH8" s="411">
        <f t="shared" si="72"/>
        <v>1.0377488354421667</v>
      </c>
      <c r="LI8" s="412">
        <v>106.45762205358784</v>
      </c>
      <c r="LJ8" s="343">
        <f t="shared" ref="LJ8:LJ26" si="73">JF7*LJ$6/LI8*KH7</f>
        <v>314713.4192350115</v>
      </c>
      <c r="LK8" s="412">
        <v>106.45762205358784</v>
      </c>
      <c r="LL8" s="343">
        <f t="shared" si="47"/>
        <v>12469.015567429989</v>
      </c>
      <c r="LM8" s="412">
        <v>106.45762205358784</v>
      </c>
      <c r="LN8" s="343">
        <f t="shared" si="48"/>
        <v>103286.30812571313</v>
      </c>
      <c r="LO8" s="412">
        <v>118.614283549666</v>
      </c>
      <c r="LP8" s="343">
        <f t="shared" ref="LP8:LP26" si="74">JL7*LP$6/LO8*LG8</f>
        <v>327503.78307503246</v>
      </c>
      <c r="LQ8" s="412">
        <v>119.48337591187899</v>
      </c>
      <c r="LR8" s="343">
        <f t="shared" si="49"/>
        <v>61906.056850359964</v>
      </c>
      <c r="LS8" s="412">
        <v>157.07111615098</v>
      </c>
      <c r="LT8" s="343">
        <f t="shared" si="50"/>
        <v>13677.457878991761</v>
      </c>
      <c r="LU8" s="412">
        <v>112.15574935818501</v>
      </c>
      <c r="LV8" s="343">
        <f t="shared" si="51"/>
        <v>43414.32563825028</v>
      </c>
      <c r="LW8" s="412">
        <v>116.939890710382</v>
      </c>
      <c r="LX8" s="343">
        <f t="shared" si="52"/>
        <v>141055.95109293074</v>
      </c>
      <c r="LY8" s="20">
        <f t="shared" si="53"/>
        <v>1029302.370829471</v>
      </c>
      <c r="LZ8" s="20">
        <f t="shared" ref="LZ8:LZ26" si="75">LJ8+LL8+LN8+LP8+LR8+LV8+LX8+LT8</f>
        <v>1018026.3174637199</v>
      </c>
      <c r="MA8" s="103"/>
      <c r="MB8" s="335"/>
      <c r="MD8" s="283">
        <v>3</v>
      </c>
      <c r="ME8" s="336">
        <v>3</v>
      </c>
      <c r="MF8" s="17">
        <f t="shared" si="19"/>
        <v>1080076.0909500001</v>
      </c>
      <c r="MG8" s="17">
        <f t="shared" si="19"/>
        <v>1284416</v>
      </c>
      <c r="MH8" s="290">
        <f t="shared" si="20"/>
        <v>1476739.1050852342</v>
      </c>
      <c r="MI8" s="17">
        <f t="shared" si="21"/>
        <v>1277623.0294883316</v>
      </c>
      <c r="MJ8" s="17">
        <f t="shared" si="21"/>
        <v>1510155.9684848431</v>
      </c>
      <c r="MK8" s="290">
        <f t="shared" si="54"/>
        <v>1577511.7188880227</v>
      </c>
      <c r="ML8" s="17">
        <f t="shared" si="55"/>
        <v>-197546.93853833154</v>
      </c>
      <c r="MM8" s="17">
        <f t="shared" si="55"/>
        <v>-225739.96848484315</v>
      </c>
      <c r="MN8" s="17">
        <f t="shared" si="55"/>
        <v>-100772.61380278855</v>
      </c>
      <c r="MR8" s="283">
        <f t="shared" ref="MR8:MR13" si="76">MR7+1</f>
        <v>3</v>
      </c>
      <c r="MS8" s="413" t="s">
        <v>43</v>
      </c>
      <c r="MT8" s="32">
        <v>239866309.41368827</v>
      </c>
      <c r="MX8" s="338">
        <f>MX7+1</f>
        <v>2</v>
      </c>
      <c r="MY8" s="346" t="s">
        <v>184</v>
      </c>
      <c r="MZ8" s="20">
        <f>N8</f>
        <v>239866309.41368827</v>
      </c>
      <c r="NA8" s="414">
        <f t="shared" si="56"/>
        <v>10.941610429426921</v>
      </c>
      <c r="NC8" s="15">
        <f>MZ8</f>
        <v>239866309.41368827</v>
      </c>
      <c r="ND8" s="414">
        <f t="shared" si="57"/>
        <v>10.941610429426921</v>
      </c>
      <c r="NH8" s="338">
        <f>NH7+1</f>
        <v>2</v>
      </c>
      <c r="NI8" s="346" t="str">
        <f t="shared" si="58"/>
        <v>Less Purchases</v>
      </c>
      <c r="NJ8" s="20">
        <v>240527467.54057765</v>
      </c>
      <c r="NK8" s="20">
        <f>MZ8</f>
        <v>239866309.41368827</v>
      </c>
      <c r="NL8" s="20">
        <f t="shared" ref="NL8:NL32" si="77">NK8-NJ8</f>
        <v>-661158.12688937783</v>
      </c>
      <c r="NM8" s="352">
        <f t="shared" ref="NM8:NM31" si="78">NL8/NJ8</f>
        <v>-2.7487843016425501E-3</v>
      </c>
    </row>
    <row r="9" spans="2:387" ht="17.25" thickBot="1" x14ac:dyDescent="0.35">
      <c r="B9" s="226">
        <f t="shared" ref="B9:B22" si="79">B8+1</f>
        <v>4</v>
      </c>
      <c r="C9" s="339"/>
      <c r="D9" s="518" t="s">
        <v>194</v>
      </c>
      <c r="E9" s="340"/>
      <c r="F9" s="15">
        <f>F7-F8</f>
        <v>97424965.908500075</v>
      </c>
      <c r="G9" s="341">
        <f t="shared" si="22"/>
        <v>4.6875236286878099</v>
      </c>
      <c r="H9" s="15">
        <f>H7-H8</f>
        <v>93109688.080902457</v>
      </c>
      <c r="I9" s="342">
        <f t="shared" si="23"/>
        <v>4.4691335738219662</v>
      </c>
      <c r="J9" s="343">
        <f t="shared" si="59"/>
        <v>-4315277.8275976181</v>
      </c>
      <c r="K9" s="15">
        <f>IS26</f>
        <v>94967116</v>
      </c>
      <c r="L9" s="342">
        <f t="shared" si="24"/>
        <v>4.4954947913881655</v>
      </c>
      <c r="M9" s="343">
        <f t="shared" si="60"/>
        <v>1857427.9190975428</v>
      </c>
      <c r="N9" s="15">
        <f>KW26</f>
        <v>131674066.73842122</v>
      </c>
      <c r="O9" s="342">
        <f t="shared" si="25"/>
        <v>6.0063722389016299</v>
      </c>
      <c r="P9" s="343">
        <f t="shared" si="61"/>
        <v>36706950.738421217</v>
      </c>
      <c r="Q9" s="15">
        <f t="shared" si="62"/>
        <v>34249100.829921141</v>
      </c>
      <c r="R9" s="344">
        <f>O9/G9-1</f>
        <v>0.28135295193872079</v>
      </c>
      <c r="V9" s="275"/>
      <c r="W9" s="276" t="s">
        <v>26</v>
      </c>
      <c r="X9" s="415"/>
      <c r="Y9" s="416"/>
      <c r="Z9" s="416"/>
      <c r="AA9" s="416"/>
      <c r="AB9" s="279"/>
      <c r="AC9" s="349"/>
      <c r="AF9" s="417">
        <f t="shared" ref="AF9:AF21" si="80">AF8+1</f>
        <v>3</v>
      </c>
      <c r="AG9" s="418" t="s">
        <v>195</v>
      </c>
      <c r="AH9" s="419">
        <f>F14/AH7</f>
        <v>21.259502357287285</v>
      </c>
      <c r="AI9" s="419">
        <f>F15/AI7</f>
        <v>19.390851338774322</v>
      </c>
      <c r="AJ9" s="419">
        <f>F16/AJ7</f>
        <v>29.970456808704011</v>
      </c>
      <c r="AL9" s="420"/>
      <c r="AN9" s="338">
        <v>4</v>
      </c>
      <c r="AO9" s="96"/>
      <c r="AQ9" s="518" t="s">
        <v>196</v>
      </c>
      <c r="AR9" s="340"/>
      <c r="AS9" s="348">
        <v>40798541.478400007</v>
      </c>
      <c r="AT9" s="349">
        <v>3.9784808756709964</v>
      </c>
      <c r="AU9" s="350"/>
      <c r="AV9" s="348">
        <v>43143142.145199999</v>
      </c>
      <c r="AW9" s="349">
        <v>3.9977765121497129</v>
      </c>
      <c r="AX9" s="351">
        <f>AW9/AT9-1</f>
        <v>4.8500010636502999E-3</v>
      </c>
      <c r="AY9" s="350"/>
      <c r="AZ9" s="348">
        <v>52055496.75</v>
      </c>
      <c r="BA9" s="349">
        <v>4.0348819154069133</v>
      </c>
      <c r="BB9" s="351">
        <f>BA9/AW9-1</f>
        <v>9.2815101455603344E-3</v>
      </c>
      <c r="BC9" s="350"/>
      <c r="BD9" s="348">
        <v>59830706</v>
      </c>
      <c r="BE9" s="349">
        <v>4.0684254603524463</v>
      </c>
      <c r="BF9" s="351">
        <f>BE9/BA9-1</f>
        <v>8.313389499070345E-3</v>
      </c>
      <c r="BG9" s="350"/>
      <c r="BH9" s="348">
        <v>59786661.226033345</v>
      </c>
      <c r="BI9" s="349">
        <v>3.9342611202245616</v>
      </c>
      <c r="BJ9" s="351">
        <f>BI9/BE9-1</f>
        <v>-3.2976968961417885E-2</v>
      </c>
      <c r="BK9" s="350"/>
      <c r="BL9" s="348">
        <v>66021321</v>
      </c>
      <c r="BM9" s="349">
        <v>3.9248623221128827</v>
      </c>
      <c r="BN9" s="351">
        <f>BM9/BI9-1</f>
        <v>-2.3889614401452208E-3</v>
      </c>
      <c r="BO9" s="350"/>
      <c r="BP9" s="348">
        <v>81963127.490000069</v>
      </c>
      <c r="BQ9" s="349">
        <v>4.4189957395433002</v>
      </c>
      <c r="BR9" s="351">
        <f>BQ9/BM9-1</f>
        <v>0.12589828046870433</v>
      </c>
      <c r="BS9" s="350"/>
      <c r="BT9" s="518">
        <v>94550736.985399961</v>
      </c>
      <c r="BU9" s="518">
        <v>4.8189639488589151</v>
      </c>
      <c r="BV9" s="518">
        <f>BU9/BQ9-1</f>
        <v>9.0511109964761305E-2</v>
      </c>
      <c r="BW9" s="15">
        <v>96385423.959800005</v>
      </c>
      <c r="BX9" s="16">
        <v>4.9793229575775362</v>
      </c>
      <c r="BY9" s="16">
        <f t="shared" si="65"/>
        <v>3.3276656646620495E-2</v>
      </c>
      <c r="BZ9" s="16">
        <v>104384344.36159995</v>
      </c>
      <c r="CA9" s="16">
        <v>5.1171376873373191</v>
      </c>
      <c r="CB9" s="16">
        <f t="shared" si="66"/>
        <v>2.7677403320476746E-2</v>
      </c>
      <c r="CC9" s="15">
        <f t="shared" si="26"/>
        <v>97424965.908500075</v>
      </c>
      <c r="CD9" s="16">
        <f t="shared" si="26"/>
        <v>4.6875236286878099</v>
      </c>
      <c r="CE9" s="352">
        <f t="shared" si="67"/>
        <v>-8.3955931010536666E-2</v>
      </c>
      <c r="CF9" s="353">
        <f t="shared" si="68"/>
        <v>1.387952176184529</v>
      </c>
      <c r="CG9" s="352">
        <f t="shared" si="69"/>
        <v>4.9545869026245137E-2</v>
      </c>
      <c r="CK9" s="421">
        <v>4</v>
      </c>
      <c r="CL9" s="422" t="s">
        <v>72</v>
      </c>
      <c r="CM9" s="423">
        <f t="shared" ref="CM9:CT9" si="81">SUM(CM6:CM8)</f>
        <v>1768304.2516944832</v>
      </c>
      <c r="CN9" s="424">
        <f t="shared" si="81"/>
        <v>32588519.365899995</v>
      </c>
      <c r="CO9" s="424">
        <f t="shared" si="81"/>
        <v>5004749.0414000005</v>
      </c>
      <c r="CP9" s="425">
        <f t="shared" si="81"/>
        <v>37593268.407299995</v>
      </c>
      <c r="CQ9" s="423">
        <f t="shared" si="81"/>
        <v>1771580.4609369074</v>
      </c>
      <c r="CR9" s="424">
        <f t="shared" si="81"/>
        <v>32647547.262273327</v>
      </c>
      <c r="CS9" s="424">
        <f t="shared" si="81"/>
        <v>3737121.3062909618</v>
      </c>
      <c r="CT9" s="424">
        <f t="shared" si="81"/>
        <v>36384668.568564288</v>
      </c>
      <c r="CV9" s="106"/>
      <c r="CX9" s="421">
        <v>4</v>
      </c>
      <c r="CY9" s="422" t="s">
        <v>72</v>
      </c>
      <c r="CZ9" s="426">
        <f>SUM(CZ6:CZ8)</f>
        <v>110734.90699999999</v>
      </c>
      <c r="DA9" s="427">
        <f>SUM(DA6:DA8)</f>
        <v>2147244.1196499998</v>
      </c>
      <c r="DB9" s="426">
        <f>SUM(DB6:DB8)</f>
        <v>110738.507</v>
      </c>
      <c r="DC9" s="428">
        <f>SUM(DC6:DC8)</f>
        <v>2147299.9196499996</v>
      </c>
      <c r="DD9" s="428">
        <f>SUM(DD6:DD8)</f>
        <v>2147299.9196500001</v>
      </c>
      <c r="DF9" s="106"/>
      <c r="DH9" s="421">
        <v>4</v>
      </c>
      <c r="DI9" s="422" t="s">
        <v>72</v>
      </c>
      <c r="DJ9" s="426">
        <f>SUM(DJ6:DJ8)</f>
        <v>530227.1121017714</v>
      </c>
      <c r="DK9" s="429">
        <f>SUM(DK6:DK8)</f>
        <v>15891148.762049999</v>
      </c>
      <c r="DL9" s="426">
        <f>SUM(DL6:DL8)</f>
        <v>532725.79619268049</v>
      </c>
      <c r="DM9" s="430">
        <f>SUM(DM6:DM8)</f>
        <v>17229598.204603884</v>
      </c>
      <c r="DQ9" s="338">
        <v>4</v>
      </c>
      <c r="DR9" s="104" t="s">
        <v>197</v>
      </c>
      <c r="DS9" s="20">
        <v>680166.6370000001</v>
      </c>
      <c r="DT9" s="20">
        <v>746283.70999999985</v>
      </c>
      <c r="DU9" s="20">
        <v>1231080.0325</v>
      </c>
      <c r="DV9" s="20">
        <v>2657530.3794999998</v>
      </c>
      <c r="DW9" s="15"/>
      <c r="DX9" s="20"/>
      <c r="DY9" s="20"/>
      <c r="DZ9" s="20"/>
      <c r="ED9" s="431">
        <v>4</v>
      </c>
      <c r="EE9" s="432" t="s">
        <v>72</v>
      </c>
      <c r="EF9" s="433">
        <f t="shared" ref="EF9:EL9" si="82">SUM(EF6:EF8)</f>
        <v>462450.054</v>
      </c>
      <c r="EG9" s="433">
        <f t="shared" si="82"/>
        <v>1503959.5179999999</v>
      </c>
      <c r="EH9" s="433">
        <f t="shared" si="82"/>
        <v>2975958.0346999997</v>
      </c>
      <c r="EI9" s="434">
        <f t="shared" si="82"/>
        <v>4942367.6066999994</v>
      </c>
      <c r="EJ9" s="433">
        <f t="shared" si="82"/>
        <v>454226.32116146933</v>
      </c>
      <c r="EK9" s="433">
        <f t="shared" si="82"/>
        <v>1511364.4405120066</v>
      </c>
      <c r="EL9" s="433">
        <f t="shared" si="82"/>
        <v>2981156.4268586496</v>
      </c>
      <c r="EM9" s="433">
        <f>SUM(EM6:EM8)</f>
        <v>4946747.1885321252</v>
      </c>
      <c r="EN9" s="103"/>
      <c r="EO9" s="408"/>
      <c r="EQ9" s="431">
        <v>4</v>
      </c>
      <c r="ER9" s="432" t="s">
        <v>72</v>
      </c>
      <c r="ES9" s="433">
        <f t="shared" ref="ES9:EZ9" si="83">SUM(ES6:ES8)</f>
        <v>1110499.9328000001</v>
      </c>
      <c r="ET9" s="433">
        <f t="shared" si="83"/>
        <v>1020073.0299999999</v>
      </c>
      <c r="EU9" s="433">
        <f t="shared" si="83"/>
        <v>1386160.8160000001</v>
      </c>
      <c r="EV9" s="434">
        <f t="shared" si="83"/>
        <v>3516733.7788</v>
      </c>
      <c r="EW9" s="433">
        <f t="shared" si="83"/>
        <v>1044966.8286657071</v>
      </c>
      <c r="EX9" s="433">
        <f t="shared" si="83"/>
        <v>985240.73378442356</v>
      </c>
      <c r="EY9" s="433">
        <f t="shared" si="83"/>
        <v>1344674.172341411</v>
      </c>
      <c r="EZ9" s="434">
        <f t="shared" si="83"/>
        <v>3374881.7347915415</v>
      </c>
      <c r="FA9" s="433">
        <v>2410584.5434436779</v>
      </c>
      <c r="FB9" s="433">
        <v>965412.54600632284</v>
      </c>
      <c r="FC9" s="433">
        <f t="shared" si="27"/>
        <v>3375997.0894500008</v>
      </c>
      <c r="FD9" s="103"/>
      <c r="FE9" s="408"/>
      <c r="FG9" s="338">
        <f t="shared" ref="FG9:FG36" si="84">FG8+1</f>
        <v>4</v>
      </c>
      <c r="FH9" s="360"/>
      <c r="FI9" s="361" t="s">
        <v>198</v>
      </c>
      <c r="FJ9" s="20">
        <v>189887.30370000005</v>
      </c>
      <c r="FK9" s="20">
        <v>178441.77000000002</v>
      </c>
      <c r="FL9" s="20">
        <v>260899.5</v>
      </c>
      <c r="FM9" s="343">
        <f t="shared" si="28"/>
        <v>629228.57370000007</v>
      </c>
      <c r="FN9" s="20">
        <v>191392.48006363638</v>
      </c>
      <c r="FO9" s="20">
        <v>178638.77</v>
      </c>
      <c r="FP9" s="20">
        <v>260899.49999999994</v>
      </c>
      <c r="FQ9" s="20">
        <v>630930.75006363634</v>
      </c>
      <c r="FR9" s="20">
        <v>630930.75006363634</v>
      </c>
      <c r="FS9" s="103"/>
      <c r="FT9" s="408"/>
      <c r="FV9" s="338">
        <v>4</v>
      </c>
      <c r="FW9" s="340" t="s">
        <v>199</v>
      </c>
      <c r="FX9" s="20">
        <v>27606.560000000001</v>
      </c>
      <c r="FY9" s="20">
        <v>0</v>
      </c>
      <c r="FZ9" s="20">
        <v>0</v>
      </c>
      <c r="GA9" s="343">
        <v>27606.560000000001</v>
      </c>
      <c r="GB9" s="20">
        <v>0</v>
      </c>
      <c r="GC9" s="20">
        <v>0</v>
      </c>
      <c r="GD9" s="20">
        <v>0</v>
      </c>
      <c r="GE9" s="343">
        <f t="shared" si="1"/>
        <v>0</v>
      </c>
      <c r="GF9" s="300"/>
      <c r="GG9" s="301"/>
      <c r="GI9" s="338">
        <v>4</v>
      </c>
      <c r="GJ9" s="362" t="s">
        <v>200</v>
      </c>
      <c r="GK9" s="20">
        <v>0</v>
      </c>
      <c r="GL9" s="20">
        <v>0</v>
      </c>
      <c r="GM9" s="20">
        <v>0</v>
      </c>
      <c r="GN9" s="343">
        <f t="shared" si="2"/>
        <v>0</v>
      </c>
      <c r="GO9" s="20">
        <v>0</v>
      </c>
      <c r="GP9" s="20">
        <v>0</v>
      </c>
      <c r="GQ9" s="20">
        <v>0</v>
      </c>
      <c r="GR9" s="343">
        <f t="shared" si="3"/>
        <v>0</v>
      </c>
      <c r="GS9" s="300"/>
      <c r="GT9" s="301"/>
      <c r="GV9" s="338">
        <v>4</v>
      </c>
      <c r="GW9" s="340" t="s">
        <v>201</v>
      </c>
      <c r="GX9" s="20">
        <v>15</v>
      </c>
      <c r="GY9" s="20">
        <v>102.05</v>
      </c>
      <c r="GZ9" s="20">
        <v>28</v>
      </c>
      <c r="HA9" s="343">
        <f t="shared" si="4"/>
        <v>145.05000000000001</v>
      </c>
      <c r="HB9" s="20">
        <v>15</v>
      </c>
      <c r="HC9" s="20">
        <v>102.05</v>
      </c>
      <c r="HD9" s="20">
        <v>28</v>
      </c>
      <c r="HE9" s="20">
        <f>SUM(HB9:HD9)</f>
        <v>145.05000000000001</v>
      </c>
      <c r="HF9" s="300"/>
      <c r="HG9" s="301"/>
      <c r="HI9" s="435">
        <v>4</v>
      </c>
      <c r="HJ9" s="436" t="s">
        <v>202</v>
      </c>
      <c r="HK9" s="436">
        <f>HK7-HK8</f>
        <v>15547930.827358045</v>
      </c>
      <c r="HL9" s="436">
        <f>HL7-HL8</f>
        <v>30873007.267200008</v>
      </c>
      <c r="HM9" s="436">
        <f>HM7-HM8</f>
        <v>57974601.33160001</v>
      </c>
      <c r="HN9" s="436">
        <f>SUM(HK9:HM9)</f>
        <v>104395539.42615807</v>
      </c>
      <c r="HO9" s="436">
        <f>HO7-HO8</f>
        <v>13275900.142986365</v>
      </c>
      <c r="HP9" s="436">
        <f>HP7-HP8</f>
        <v>29046739.107620001</v>
      </c>
      <c r="HQ9" s="436">
        <f>HQ7-HQ8</f>
        <v>55553147.771600008</v>
      </c>
      <c r="HR9" s="436">
        <f>SUM(HO9:HQ9)</f>
        <v>97875787.022206366</v>
      </c>
      <c r="HW9" s="338">
        <v>4</v>
      </c>
      <c r="HX9" s="322">
        <v>4</v>
      </c>
      <c r="HY9" s="322">
        <v>11</v>
      </c>
      <c r="HZ9" s="322">
        <v>10</v>
      </c>
      <c r="IA9" s="347">
        <v>26264261</v>
      </c>
      <c r="IB9" s="347">
        <v>23590721</v>
      </c>
      <c r="IC9" s="342">
        <f t="shared" si="5"/>
        <v>0.90909090909090906</v>
      </c>
      <c r="ID9" s="342">
        <f t="shared" si="6"/>
        <v>0.89820615931283965</v>
      </c>
      <c r="IE9" s="344">
        <v>1</v>
      </c>
      <c r="IF9" s="344">
        <v>0</v>
      </c>
      <c r="IG9" s="344">
        <v>0</v>
      </c>
      <c r="IK9" s="364">
        <v>4</v>
      </c>
      <c r="IL9" s="365">
        <v>4</v>
      </c>
      <c r="IM9" s="341">
        <f t="shared" si="7"/>
        <v>0.89820615931283965</v>
      </c>
      <c r="IN9" s="20">
        <v>7664</v>
      </c>
      <c r="IO9" s="343">
        <f t="shared" si="29"/>
        <v>6883.8520049736035</v>
      </c>
      <c r="IP9" s="20">
        <v>2868589</v>
      </c>
      <c r="IQ9" s="343">
        <v>2570986</v>
      </c>
      <c r="IR9" s="20">
        <v>1172360.9693000002</v>
      </c>
      <c r="IS9" s="343">
        <v>1051227</v>
      </c>
      <c r="IT9" s="20">
        <v>247500</v>
      </c>
      <c r="IU9" s="20">
        <v>225000</v>
      </c>
      <c r="IV9" s="20">
        <f t="shared" si="30"/>
        <v>1427524.9693000002</v>
      </c>
      <c r="IW9" s="20">
        <f t="shared" si="30"/>
        <v>1283110.8520049737</v>
      </c>
      <c r="IX9" s="314"/>
      <c r="IY9" s="315"/>
      <c r="IZ9" s="314"/>
      <c r="JA9" s="366">
        <v>4</v>
      </c>
      <c r="JB9" s="365">
        <v>4</v>
      </c>
      <c r="JC9" s="367">
        <f t="shared" si="8"/>
        <v>0.90909090909090906</v>
      </c>
      <c r="JD9" s="368">
        <f t="shared" si="8"/>
        <v>0.89820615931283965</v>
      </c>
      <c r="JE9" s="20">
        <v>542390.29433242558</v>
      </c>
      <c r="JF9" s="343">
        <f t="shared" si="70"/>
        <v>487178.30312088865</v>
      </c>
      <c r="JG9" s="20">
        <v>53126.451000000001</v>
      </c>
      <c r="JH9" s="343">
        <f t="shared" si="31"/>
        <v>47718.505510631767</v>
      </c>
      <c r="JI9" s="20">
        <v>406583.4446675746</v>
      </c>
      <c r="JJ9" s="343">
        <f t="shared" si="32"/>
        <v>369621.31333415874</v>
      </c>
      <c r="JK9" s="20">
        <v>414159.29905448295</v>
      </c>
      <c r="JL9" s="343">
        <v>370890.46616913925</v>
      </c>
      <c r="JM9" s="20">
        <v>34921.061000000002</v>
      </c>
      <c r="JN9" s="343">
        <f t="shared" si="33"/>
        <v>31366.312079939391</v>
      </c>
      <c r="JO9" s="20">
        <v>43741.144</v>
      </c>
      <c r="JP9" s="343">
        <f t="shared" si="34"/>
        <v>39288.564956189861</v>
      </c>
      <c r="JQ9" s="20">
        <v>36874.22</v>
      </c>
      <c r="JR9" s="343">
        <f t="shared" si="35"/>
        <v>33120.651523856701</v>
      </c>
      <c r="JS9" s="20">
        <v>141721.51135000002</v>
      </c>
      <c r="JT9" s="343">
        <f t="shared" si="36"/>
        <v>127295.13440169452</v>
      </c>
      <c r="JU9" s="20">
        <f t="shared" si="37"/>
        <v>1673517.4254044832</v>
      </c>
      <c r="JV9" s="20">
        <f t="shared" si="37"/>
        <v>1506479.2510964985</v>
      </c>
      <c r="JW9" s="369">
        <f t="shared" si="9"/>
        <v>6.3858974513602131</v>
      </c>
      <c r="KA9" s="338">
        <v>4</v>
      </c>
      <c r="KB9" s="322">
        <v>4</v>
      </c>
      <c r="KC9" s="518">
        <f t="shared" si="10"/>
        <v>10</v>
      </c>
      <c r="KD9" s="518">
        <f t="shared" si="11"/>
        <v>10</v>
      </c>
      <c r="KE9" s="370">
        <f t="shared" si="12"/>
        <v>23590721</v>
      </c>
      <c r="KF9" s="370">
        <f t="shared" si="13"/>
        <v>24481243.244991064</v>
      </c>
      <c r="KG9" s="371">
        <f t="shared" si="38"/>
        <v>1</v>
      </c>
      <c r="KH9" s="371">
        <f t="shared" si="39"/>
        <v>1.0377488354421667</v>
      </c>
      <c r="KI9" s="371">
        <f t="shared" si="40"/>
        <v>1.0444273859168403</v>
      </c>
      <c r="KJ9" s="322" t="s">
        <v>440</v>
      </c>
      <c r="KK9" s="322"/>
      <c r="KL9" s="323"/>
      <c r="KM9" s="322"/>
      <c r="KN9" s="338">
        <v>4</v>
      </c>
      <c r="KO9" s="322">
        <v>4</v>
      </c>
      <c r="KP9" s="437" t="str">
        <f t="shared" si="14"/>
        <v>Q4</v>
      </c>
      <c r="KQ9" s="373">
        <f t="shared" si="15"/>
        <v>1.0444273859168403</v>
      </c>
      <c r="KR9" s="358">
        <f t="shared" si="41"/>
        <v>6883.8520049736035</v>
      </c>
      <c r="KS9" s="358">
        <f t="shared" si="42"/>
        <v>7189.6835545929807</v>
      </c>
      <c r="KT9" s="358">
        <f t="shared" si="16"/>
        <v>2570986</v>
      </c>
      <c r="KU9" s="358">
        <f t="shared" si="43"/>
        <v>2678642.2641473156</v>
      </c>
      <c r="KV9" s="358">
        <f t="shared" si="17"/>
        <v>1051227</v>
      </c>
      <c r="KW9" s="358">
        <f t="shared" si="18"/>
        <v>1470434.5980051239</v>
      </c>
      <c r="KX9" s="358">
        <f t="shared" si="44"/>
        <v>225000</v>
      </c>
      <c r="KY9" s="358">
        <f t="shared" si="45"/>
        <v>53144.044438442164</v>
      </c>
      <c r="KZ9" s="358">
        <f t="shared" si="46"/>
        <v>1283110.8520049737</v>
      </c>
      <c r="LA9" s="358">
        <f t="shared" si="46"/>
        <v>1530768.3259981591</v>
      </c>
      <c r="LB9" s="326"/>
      <c r="LC9" s="323"/>
      <c r="LD9" s="322"/>
      <c r="LE9" s="374">
        <f t="shared" si="71"/>
        <v>4</v>
      </c>
      <c r="LF9" s="375">
        <v>3</v>
      </c>
      <c r="LG9" s="376">
        <f t="shared" si="72"/>
        <v>1</v>
      </c>
      <c r="LH9" s="376">
        <f t="shared" si="72"/>
        <v>1.0377488354421667</v>
      </c>
      <c r="LI9" s="377">
        <v>92.086954396969617</v>
      </c>
      <c r="LJ9" s="290">
        <f t="shared" si="73"/>
        <v>440395.64774132153</v>
      </c>
      <c r="LK9" s="377">
        <v>92.086954396969617</v>
      </c>
      <c r="LL9" s="290">
        <f t="shared" si="47"/>
        <v>55106.85654789093</v>
      </c>
      <c r="LM9" s="377">
        <v>92.086954396969617</v>
      </c>
      <c r="LN9" s="290">
        <f t="shared" si="48"/>
        <v>339699.87870464643</v>
      </c>
      <c r="LO9" s="377">
        <v>119.50379714140099</v>
      </c>
      <c r="LP9" s="290">
        <f t="shared" si="74"/>
        <v>442005.11186349811</v>
      </c>
      <c r="LQ9" s="377">
        <v>120.433043671646</v>
      </c>
      <c r="LR9" s="290">
        <f t="shared" si="49"/>
        <v>44362.086781804152</v>
      </c>
      <c r="LS9" s="377">
        <v>146.40099357416699</v>
      </c>
      <c r="LT9" s="290">
        <f t="shared" si="50"/>
        <v>57014.16914298456</v>
      </c>
      <c r="LU9" s="377">
        <v>116.183248398364</v>
      </c>
      <c r="LV9" s="290">
        <f t="shared" si="51"/>
        <v>33011.767762830132</v>
      </c>
      <c r="LW9" s="377">
        <v>117.5956284153</v>
      </c>
      <c r="LX9" s="378">
        <f t="shared" si="52"/>
        <v>165916.20034304669</v>
      </c>
      <c r="LY9" s="379">
        <f t="shared" si="53"/>
        <v>1510155.9684848431</v>
      </c>
      <c r="LZ9" s="379">
        <f t="shared" si="75"/>
        <v>1577511.7188880227</v>
      </c>
      <c r="MA9" s="103"/>
      <c r="MB9" s="335"/>
      <c r="MD9" s="338">
        <v>4</v>
      </c>
      <c r="ME9" s="380">
        <v>4</v>
      </c>
      <c r="MF9" s="20">
        <f t="shared" si="19"/>
        <v>1427524.9693000002</v>
      </c>
      <c r="MG9" s="20">
        <f t="shared" si="19"/>
        <v>1283110.8520049737</v>
      </c>
      <c r="MH9" s="343">
        <f t="shared" si="20"/>
        <v>1530768.3259981591</v>
      </c>
      <c r="MI9" s="20">
        <f t="shared" si="21"/>
        <v>1673517.4254044832</v>
      </c>
      <c r="MJ9" s="20">
        <f t="shared" si="21"/>
        <v>1506479.2510964985</v>
      </c>
      <c r="MK9" s="343">
        <f t="shared" si="54"/>
        <v>1573408.186160675</v>
      </c>
      <c r="ML9" s="20">
        <f t="shared" si="55"/>
        <v>-245992.45610448299</v>
      </c>
      <c r="MM9" s="20">
        <f t="shared" si="55"/>
        <v>-223368.39909152477</v>
      </c>
      <c r="MN9" s="20">
        <f t="shared" si="55"/>
        <v>-42639.860162515892</v>
      </c>
      <c r="MR9" s="338">
        <f t="shared" si="76"/>
        <v>4</v>
      </c>
      <c r="MS9" s="346" t="s">
        <v>203</v>
      </c>
      <c r="MT9" s="20">
        <f>MT7+MT8</f>
        <v>333475187.01949108</v>
      </c>
      <c r="MX9" s="283">
        <f t="shared" ref="MX9:MX24" si="85">MX8+1</f>
        <v>3</v>
      </c>
      <c r="MY9" s="388" t="s">
        <v>204</v>
      </c>
      <c r="MZ9" s="17">
        <f>N9</f>
        <v>131674066.73842122</v>
      </c>
      <c r="NA9" s="381">
        <f t="shared" si="56"/>
        <v>6.0063722389016299</v>
      </c>
      <c r="NB9" s="97"/>
      <c r="NC9" s="18">
        <f>MZ30</f>
        <v>108135389.13039167</v>
      </c>
      <c r="ND9" s="381">
        <f t="shared" si="57"/>
        <v>4.9326447903054804</v>
      </c>
      <c r="NH9" s="283">
        <f t="shared" ref="NH9:NH24" si="86">NH8+1</f>
        <v>3</v>
      </c>
      <c r="NI9" s="388" t="str">
        <f t="shared" si="58"/>
        <v>Base Handling Commissions (HC)</v>
      </c>
      <c r="NJ9" s="17">
        <v>101297214.72157842</v>
      </c>
      <c r="NK9" s="17">
        <f>MZ9</f>
        <v>131674066.73842122</v>
      </c>
      <c r="NL9" s="17">
        <f t="shared" si="77"/>
        <v>30376852.016842797</v>
      </c>
      <c r="NM9" s="383">
        <f t="shared" si="78"/>
        <v>0.29987845273273733</v>
      </c>
    </row>
    <row r="10" spans="2:387" x14ac:dyDescent="0.3">
      <c r="B10" s="265">
        <f t="shared" si="79"/>
        <v>5</v>
      </c>
      <c r="C10" s="384"/>
      <c r="D10" s="97" t="s">
        <v>205</v>
      </c>
      <c r="E10" s="286"/>
      <c r="F10" s="18">
        <f>HA14+GE14</f>
        <v>2435490.3939</v>
      </c>
      <c r="G10" s="313">
        <f t="shared" si="22"/>
        <v>0.11718165526042415</v>
      </c>
      <c r="H10" s="18">
        <f>HE14</f>
        <v>215937.90000000002</v>
      </c>
      <c r="I10" s="309">
        <f t="shared" si="23"/>
        <v>1.0364714334689638E-2</v>
      </c>
      <c r="J10" s="290">
        <f t="shared" si="59"/>
        <v>-2219552.4939000001</v>
      </c>
      <c r="K10" s="18">
        <f>IO26</f>
        <v>214148.01155062864</v>
      </c>
      <c r="L10" s="309">
        <f t="shared" si="24"/>
        <v>1.0137206551707684E-2</v>
      </c>
      <c r="M10" s="290">
        <f t="shared" si="60"/>
        <v>-1789.8884493713849</v>
      </c>
      <c r="N10" s="18">
        <f>KS26</f>
        <v>205807.70691842429</v>
      </c>
      <c r="O10" s="309">
        <f t="shared" si="25"/>
        <v>9.3880118386753496E-3</v>
      </c>
      <c r="P10" s="290">
        <f t="shared" si="61"/>
        <v>-8340.3046322043519</v>
      </c>
      <c r="Q10" s="18">
        <f t="shared" si="62"/>
        <v>-2229682.6869815756</v>
      </c>
      <c r="R10" s="310">
        <f t="shared" si="63"/>
        <v>-0.91988496989728075</v>
      </c>
      <c r="V10" s="249">
        <f>V8+1</f>
        <v>3</v>
      </c>
      <c r="W10" s="345" t="s">
        <v>176</v>
      </c>
      <c r="X10" s="20">
        <v>-3111364.09752667</v>
      </c>
      <c r="Y10" s="20">
        <v>1633.1694328281737</v>
      </c>
      <c r="Z10" s="20">
        <v>6268605.8697440196</v>
      </c>
      <c r="AA10" s="20">
        <f>SUM(X10:Z10)</f>
        <v>3158874.9416501778</v>
      </c>
      <c r="AB10" s="20"/>
      <c r="AF10" s="385">
        <f t="shared" si="80"/>
        <v>4</v>
      </c>
      <c r="AG10" s="282" t="s">
        <v>26</v>
      </c>
      <c r="AH10" s="97"/>
      <c r="AI10" s="97"/>
      <c r="AJ10" s="97"/>
      <c r="AN10" s="283">
        <v>5</v>
      </c>
      <c r="AO10" s="390"/>
      <c r="AP10" s="97"/>
      <c r="AQ10" s="97" t="s">
        <v>205</v>
      </c>
      <c r="AR10" s="286"/>
      <c r="AS10" s="392">
        <v>351000.77</v>
      </c>
      <c r="AT10" s="393">
        <v>3.4227935612112924E-2</v>
      </c>
      <c r="AU10" s="394"/>
      <c r="AV10" s="392">
        <v>392967.44999999995</v>
      </c>
      <c r="AW10" s="393">
        <v>3.6413574986312203E-2</v>
      </c>
      <c r="AX10" s="383">
        <f>AW10/AT10-1</f>
        <v>6.3855424965384211E-2</v>
      </c>
      <c r="AY10" s="394"/>
      <c r="AZ10" s="392">
        <v>419971.50999999995</v>
      </c>
      <c r="BA10" s="393">
        <v>3.2552478729062043E-2</v>
      </c>
      <c r="BB10" s="383">
        <f>BA10/AW10-1</f>
        <v>-0.10603452857077444</v>
      </c>
      <c r="BC10" s="394"/>
      <c r="BD10" s="392">
        <v>465783.3236</v>
      </c>
      <c r="BE10" s="393">
        <v>3.1672779070028398E-2</v>
      </c>
      <c r="BF10" s="383">
        <f>BE10/BA10-1</f>
        <v>-2.7024045276413E-2</v>
      </c>
      <c r="BG10" s="394"/>
      <c r="BH10" s="392">
        <v>1360261.3124000002</v>
      </c>
      <c r="BI10" s="393">
        <v>8.9511992892331985E-2</v>
      </c>
      <c r="BJ10" s="383">
        <f>BI10/BE10-1</f>
        <v>1.8261489998847686</v>
      </c>
      <c r="BK10" s="394"/>
      <c r="BL10" s="392">
        <v>1390376.9787000001</v>
      </c>
      <c r="BM10" s="393">
        <v>8.2655695684016636E-2</v>
      </c>
      <c r="BN10" s="383">
        <f>BM10/BI10-1</f>
        <v>-7.6596408891960732E-2</v>
      </c>
      <c r="BO10" s="394"/>
      <c r="BP10" s="392">
        <v>770218.05</v>
      </c>
      <c r="BQ10" s="393">
        <v>4.1525871275282955E-2</v>
      </c>
      <c r="BR10" s="383">
        <f>BQ10/BM10-1</f>
        <v>-0.49760423729259196</v>
      </c>
      <c r="BS10" s="394"/>
      <c r="BT10" s="97">
        <v>1472526.2590000001</v>
      </c>
      <c r="BU10" s="97">
        <v>7.5050191908761346E-2</v>
      </c>
      <c r="BV10" s="97">
        <f>BU10/BQ10-1</f>
        <v>0.8073116735164747</v>
      </c>
      <c r="BW10" s="18">
        <v>11886052.370000001</v>
      </c>
      <c r="BX10" s="19">
        <v>0.6140398725184244</v>
      </c>
      <c r="BY10" s="19">
        <f t="shared" si="65"/>
        <v>7.1817228830662252</v>
      </c>
      <c r="BZ10" s="19">
        <v>6021594.1700000009</v>
      </c>
      <c r="CA10" s="19">
        <v>0.29519107155012259</v>
      </c>
      <c r="CB10" s="19">
        <f t="shared" si="66"/>
        <v>-0.51926400098510661</v>
      </c>
      <c r="CC10" s="18">
        <f t="shared" si="26"/>
        <v>2435490.3939</v>
      </c>
      <c r="CD10" s="19">
        <f t="shared" si="26"/>
        <v>0.11718165526042415</v>
      </c>
      <c r="CE10" s="395">
        <f t="shared" si="67"/>
        <v>-0.60303116674541068</v>
      </c>
      <c r="CF10" s="396">
        <f t="shared" si="68"/>
        <v>5.9387038492821533</v>
      </c>
      <c r="CG10" s="395">
        <f t="shared" si="69"/>
        <v>0.11362170310487252</v>
      </c>
      <c r="CV10" s="106"/>
      <c r="CX10" s="438"/>
      <c r="CY10" s="439"/>
      <c r="CZ10" s="440"/>
      <c r="DA10" s="518"/>
      <c r="DB10" s="440"/>
      <c r="DF10" s="106"/>
      <c r="DK10" s="518"/>
      <c r="DQ10" s="283">
        <v>5</v>
      </c>
      <c r="DR10" s="441" t="s">
        <v>206</v>
      </c>
      <c r="DS10" s="17"/>
      <c r="DT10" s="17"/>
      <c r="DU10" s="17"/>
      <c r="DV10" s="17"/>
      <c r="DW10" s="18">
        <v>2956744.1022613361</v>
      </c>
      <c r="DX10" s="17">
        <v>4613072.506473586</v>
      </c>
      <c r="DY10" s="17">
        <v>6654109.4956538649</v>
      </c>
      <c r="DZ10" s="17">
        <v>14223926.104388788</v>
      </c>
      <c r="EN10" s="103"/>
      <c r="EO10" s="408"/>
      <c r="FB10" s="442" t="s">
        <v>207</v>
      </c>
      <c r="FD10" s="103"/>
      <c r="FE10" s="408"/>
      <c r="FG10" s="283">
        <f t="shared" si="84"/>
        <v>5</v>
      </c>
      <c r="FH10" s="406"/>
      <c r="FI10" s="407" t="s">
        <v>208</v>
      </c>
      <c r="FJ10" s="17">
        <v>38248.1</v>
      </c>
      <c r="FK10" s="17">
        <v>179410.81</v>
      </c>
      <c r="FL10" s="17">
        <v>22647.81</v>
      </c>
      <c r="FM10" s="290">
        <f t="shared" si="28"/>
        <v>240306.72</v>
      </c>
      <c r="FN10" s="17">
        <v>0</v>
      </c>
      <c r="FO10" s="17">
        <v>0</v>
      </c>
      <c r="FP10" s="17">
        <v>0</v>
      </c>
      <c r="FQ10" s="17">
        <v>0</v>
      </c>
      <c r="FR10" s="17">
        <v>0</v>
      </c>
      <c r="FS10" s="103"/>
      <c r="FT10" s="408"/>
      <c r="FV10" s="283">
        <v>5</v>
      </c>
      <c r="FW10" s="286" t="s">
        <v>209</v>
      </c>
      <c r="FX10" s="17">
        <v>0</v>
      </c>
      <c r="FY10" s="17">
        <v>0</v>
      </c>
      <c r="FZ10" s="17">
        <v>0</v>
      </c>
      <c r="GA10" s="290">
        <v>0</v>
      </c>
      <c r="GB10" s="17">
        <v>0</v>
      </c>
      <c r="GC10" s="17">
        <v>0</v>
      </c>
      <c r="GD10" s="17">
        <v>0</v>
      </c>
      <c r="GE10" s="290">
        <f t="shared" si="1"/>
        <v>0</v>
      </c>
      <c r="GF10" s="300"/>
      <c r="GG10" s="301"/>
      <c r="GI10" s="283">
        <v>5</v>
      </c>
      <c r="GJ10" s="97" t="s">
        <v>210</v>
      </c>
      <c r="GK10" s="17">
        <v>0</v>
      </c>
      <c r="GL10" s="17">
        <v>0</v>
      </c>
      <c r="GM10" s="17">
        <v>0</v>
      </c>
      <c r="GN10" s="290">
        <f t="shared" si="2"/>
        <v>0</v>
      </c>
      <c r="GO10" s="17">
        <v>0</v>
      </c>
      <c r="GP10" s="17">
        <v>0</v>
      </c>
      <c r="GQ10" s="17">
        <v>0</v>
      </c>
      <c r="GR10" s="290">
        <f t="shared" si="3"/>
        <v>0</v>
      </c>
      <c r="GS10" s="300"/>
      <c r="GT10" s="301"/>
      <c r="GV10" s="283">
        <v>5</v>
      </c>
      <c r="GW10" s="286" t="s">
        <v>211</v>
      </c>
      <c r="GX10" s="17">
        <v>0</v>
      </c>
      <c r="GY10" s="17">
        <v>9554</v>
      </c>
      <c r="GZ10" s="17">
        <v>149254.37</v>
      </c>
      <c r="HA10" s="290">
        <f t="shared" si="4"/>
        <v>158808.37</v>
      </c>
      <c r="HB10" s="17">
        <v>0</v>
      </c>
      <c r="HC10" s="17">
        <v>9554</v>
      </c>
      <c r="HD10" s="17">
        <v>149254.37</v>
      </c>
      <c r="HE10" s="17">
        <f>SUM(HB10:HD10)</f>
        <v>158808.37</v>
      </c>
      <c r="HF10" s="300"/>
      <c r="HG10" s="301"/>
      <c r="HS10" s="305"/>
      <c r="HT10" s="443"/>
      <c r="HW10" s="283">
        <v>5</v>
      </c>
      <c r="HX10" s="306">
        <v>5</v>
      </c>
      <c r="HY10" s="306">
        <v>10</v>
      </c>
      <c r="HZ10" s="306">
        <v>11</v>
      </c>
      <c r="IA10" s="307">
        <v>27116157</v>
      </c>
      <c r="IB10" s="307">
        <v>29685742</v>
      </c>
      <c r="IC10" s="309">
        <f t="shared" si="5"/>
        <v>1.1000000000000001</v>
      </c>
      <c r="ID10" s="309">
        <f t="shared" si="6"/>
        <v>1.0947621375698628</v>
      </c>
      <c r="IE10" s="310">
        <v>1</v>
      </c>
      <c r="IF10" s="310">
        <v>0</v>
      </c>
      <c r="IG10" s="310">
        <v>0</v>
      </c>
      <c r="IK10" s="410">
        <v>5</v>
      </c>
      <c r="IL10" s="317">
        <v>5</v>
      </c>
      <c r="IM10" s="313">
        <f t="shared" si="7"/>
        <v>1.0947621375698628</v>
      </c>
      <c r="IN10" s="17">
        <v>0</v>
      </c>
      <c r="IO10" s="290">
        <f t="shared" si="29"/>
        <v>0</v>
      </c>
      <c r="IP10" s="17">
        <v>2939956</v>
      </c>
      <c r="IQ10" s="290">
        <v>3212808</v>
      </c>
      <c r="IR10" s="17">
        <v>1207459.2149000003</v>
      </c>
      <c r="IS10" s="290">
        <v>1313046</v>
      </c>
      <c r="IT10" s="17">
        <v>225000</v>
      </c>
      <c r="IU10" s="17">
        <v>247500</v>
      </c>
      <c r="IV10" s="17">
        <f t="shared" si="30"/>
        <v>1432459.2149000003</v>
      </c>
      <c r="IW10" s="17">
        <f t="shared" si="30"/>
        <v>1560546</v>
      </c>
      <c r="IX10" s="314"/>
      <c r="IY10" s="315"/>
      <c r="IZ10" s="314"/>
      <c r="JA10" s="316">
        <v>5</v>
      </c>
      <c r="JB10" s="317">
        <v>5</v>
      </c>
      <c r="JC10" s="318">
        <f t="shared" si="8"/>
        <v>1.1000000000000001</v>
      </c>
      <c r="JD10" s="319">
        <f t="shared" si="8"/>
        <v>1.0947621375698628</v>
      </c>
      <c r="JE10" s="17">
        <v>376466.18503357458</v>
      </c>
      <c r="JF10" s="290">
        <f t="shared" si="70"/>
        <v>412140.92545012763</v>
      </c>
      <c r="JG10" s="17">
        <v>40193.666000000005</v>
      </c>
      <c r="JH10" s="290">
        <f t="shared" si="31"/>
        <v>44002.503706929121</v>
      </c>
      <c r="JI10" s="17">
        <v>312146.12896642543</v>
      </c>
      <c r="JJ10" s="290">
        <f t="shared" si="32"/>
        <v>343360.74186306802</v>
      </c>
      <c r="JK10" s="17">
        <v>390543.88054603967</v>
      </c>
      <c r="JL10" s="290">
        <v>418603.62896724488</v>
      </c>
      <c r="JM10" s="17">
        <v>78887.505000000005</v>
      </c>
      <c r="JN10" s="290">
        <f t="shared" si="33"/>
        <v>86363.053601353255</v>
      </c>
      <c r="JO10" s="17">
        <v>67866.460000000021</v>
      </c>
      <c r="JP10" s="290">
        <f t="shared" si="34"/>
        <v>74297.630818899619</v>
      </c>
      <c r="JQ10" s="17">
        <v>71839.23</v>
      </c>
      <c r="JR10" s="290">
        <f t="shared" si="35"/>
        <v>78646.868996173012</v>
      </c>
      <c r="JS10" s="17">
        <v>222001.96544999999</v>
      </c>
      <c r="JT10" s="290">
        <f t="shared" si="36"/>
        <v>243039.34624075281</v>
      </c>
      <c r="JU10" s="17">
        <f t="shared" si="37"/>
        <v>1559945.0209960397</v>
      </c>
      <c r="JV10" s="17">
        <f t="shared" si="37"/>
        <v>1700454.6996445484</v>
      </c>
      <c r="JW10" s="320">
        <f t="shared" si="9"/>
        <v>5.7281866144513032</v>
      </c>
      <c r="KA10" s="283">
        <v>5</v>
      </c>
      <c r="KB10" s="306">
        <v>5</v>
      </c>
      <c r="KC10" s="97">
        <f t="shared" si="10"/>
        <v>11</v>
      </c>
      <c r="KD10" s="97">
        <f t="shared" si="11"/>
        <v>11</v>
      </c>
      <c r="KE10" s="289">
        <f t="shared" si="12"/>
        <v>29685742</v>
      </c>
      <c r="KF10" s="289">
        <f t="shared" si="13"/>
        <v>30806344.189736616</v>
      </c>
      <c r="KG10" s="321">
        <f t="shared" si="38"/>
        <v>1</v>
      </c>
      <c r="KH10" s="321">
        <f t="shared" si="39"/>
        <v>1.0377488354421667</v>
      </c>
      <c r="KI10" s="321">
        <f t="shared" si="40"/>
        <v>1.0467914718031424</v>
      </c>
      <c r="KJ10" s="306" t="s">
        <v>440</v>
      </c>
      <c r="KK10" s="322"/>
      <c r="KL10" s="323"/>
      <c r="KM10" s="322"/>
      <c r="KN10" s="283">
        <v>5</v>
      </c>
      <c r="KO10" s="306">
        <v>5</v>
      </c>
      <c r="KP10" s="324" t="str">
        <f t="shared" si="14"/>
        <v>Q4</v>
      </c>
      <c r="KQ10" s="325">
        <f t="shared" si="15"/>
        <v>1.0467914718031424</v>
      </c>
      <c r="KR10" s="17">
        <f t="shared" si="41"/>
        <v>0</v>
      </c>
      <c r="KS10" s="17">
        <f t="shared" si="42"/>
        <v>0</v>
      </c>
      <c r="KT10" s="17">
        <f t="shared" si="16"/>
        <v>3212808</v>
      </c>
      <c r="KU10" s="17">
        <f t="shared" si="43"/>
        <v>3370710.1687893751</v>
      </c>
      <c r="KV10" s="17">
        <f t="shared" si="17"/>
        <v>1313046</v>
      </c>
      <c r="KW10" s="17">
        <f t="shared" si="18"/>
        <v>1850343.7052328251</v>
      </c>
      <c r="KX10" s="17">
        <f t="shared" si="44"/>
        <v>247500</v>
      </c>
      <c r="KY10" s="17">
        <f t="shared" si="45"/>
        <v>66874.61532168214</v>
      </c>
      <c r="KZ10" s="17">
        <f t="shared" si="46"/>
        <v>1560546</v>
      </c>
      <c r="LA10" s="17">
        <f t="shared" si="46"/>
        <v>1917218.3205545072</v>
      </c>
      <c r="LB10" s="326"/>
      <c r="LC10" s="323"/>
      <c r="LD10" s="322"/>
      <c r="LE10" s="364">
        <f t="shared" si="71"/>
        <v>5</v>
      </c>
      <c r="LF10" s="365">
        <v>4</v>
      </c>
      <c r="LG10" s="411">
        <f t="shared" si="72"/>
        <v>1</v>
      </c>
      <c r="LH10" s="411">
        <f t="shared" si="72"/>
        <v>1.0377488354421667</v>
      </c>
      <c r="LI10" s="412">
        <v>92.086954396969617</v>
      </c>
      <c r="LJ10" s="343">
        <f t="shared" si="73"/>
        <v>515505.48759471922</v>
      </c>
      <c r="LK10" s="412">
        <v>92.086954396969617</v>
      </c>
      <c r="LL10" s="343">
        <f t="shared" si="47"/>
        <v>50493.117803001755</v>
      </c>
      <c r="LM10" s="412">
        <v>92.086954396969617</v>
      </c>
      <c r="LN10" s="343">
        <f t="shared" si="48"/>
        <v>376886.08700568299</v>
      </c>
      <c r="LO10" s="412">
        <v>119.50379714140099</v>
      </c>
      <c r="LP10" s="343">
        <f t="shared" si="74"/>
        <v>385072.305675574</v>
      </c>
      <c r="LQ10" s="412">
        <v>120.433043671646</v>
      </c>
      <c r="LR10" s="343">
        <f t="shared" si="49"/>
        <v>33762.677180225925</v>
      </c>
      <c r="LS10" s="412">
        <v>146.40099357416699</v>
      </c>
      <c r="LT10" s="343">
        <f t="shared" si="50"/>
        <v>39772.835248239011</v>
      </c>
      <c r="LU10" s="412">
        <v>116.183248398364</v>
      </c>
      <c r="LV10" s="343">
        <f t="shared" si="51"/>
        <v>34881.031727189082</v>
      </c>
      <c r="LW10" s="412">
        <v>117.5956284153</v>
      </c>
      <c r="LX10" s="343">
        <f t="shared" si="52"/>
        <v>137034.64392604312</v>
      </c>
      <c r="LY10" s="20">
        <f t="shared" si="53"/>
        <v>1506479.2510964985</v>
      </c>
      <c r="LZ10" s="20">
        <f t="shared" si="75"/>
        <v>1573408.186160675</v>
      </c>
      <c r="MA10" s="103"/>
      <c r="MB10" s="335"/>
      <c r="MD10" s="283">
        <v>5</v>
      </c>
      <c r="ME10" s="336">
        <v>5</v>
      </c>
      <c r="MF10" s="17">
        <f t="shared" si="19"/>
        <v>1432459.2149000003</v>
      </c>
      <c r="MG10" s="17">
        <f t="shared" si="19"/>
        <v>1560546</v>
      </c>
      <c r="MH10" s="290">
        <f t="shared" si="20"/>
        <v>1917218.3205545072</v>
      </c>
      <c r="MI10" s="17">
        <f t="shared" si="21"/>
        <v>1559945.0209960397</v>
      </c>
      <c r="MJ10" s="17">
        <f t="shared" si="21"/>
        <v>1700454.6996445484</v>
      </c>
      <c r="MK10" s="290">
        <f t="shared" si="54"/>
        <v>1780021.4777754871</v>
      </c>
      <c r="ML10" s="17">
        <f t="shared" si="55"/>
        <v>-127485.80609603948</v>
      </c>
      <c r="MM10" s="17">
        <f t="shared" si="55"/>
        <v>-139908.69964454835</v>
      </c>
      <c r="MN10" s="17">
        <f t="shared" si="55"/>
        <v>137196.84277902008</v>
      </c>
      <c r="MR10" s="283">
        <f>MR9+1</f>
        <v>5</v>
      </c>
      <c r="MS10" s="444" t="s">
        <v>212</v>
      </c>
      <c r="MT10" s="445"/>
      <c r="MX10" s="338">
        <f t="shared" si="85"/>
        <v>4</v>
      </c>
      <c r="MY10" s="346" t="s">
        <v>205</v>
      </c>
      <c r="MZ10" s="20">
        <f>N10</f>
        <v>205807.70691842429</v>
      </c>
      <c r="NA10" s="414">
        <f t="shared" si="56"/>
        <v>9.3880118386753496E-3</v>
      </c>
      <c r="NC10" s="15">
        <f>MZ10</f>
        <v>205807.70691842429</v>
      </c>
      <c r="ND10" s="414">
        <f t="shared" si="57"/>
        <v>9.3880118386753496E-3</v>
      </c>
      <c r="NH10" s="338">
        <f t="shared" si="86"/>
        <v>4</v>
      </c>
      <c r="NI10" s="346" t="str">
        <f t="shared" si="58"/>
        <v>Misc Revenue</v>
      </c>
      <c r="NJ10" s="20">
        <v>588123.20368232101</v>
      </c>
      <c r="NK10" s="20">
        <f>MZ10</f>
        <v>205807.70691842429</v>
      </c>
      <c r="NL10" s="20">
        <f t="shared" si="77"/>
        <v>-382315.49676389672</v>
      </c>
      <c r="NM10" s="352">
        <f t="shared" si="78"/>
        <v>-0.65006021590402541</v>
      </c>
    </row>
    <row r="11" spans="2:387" x14ac:dyDescent="0.3">
      <c r="B11" s="226">
        <f>B10+1</f>
        <v>6</v>
      </c>
      <c r="C11" s="339"/>
      <c r="D11" s="518" t="s">
        <v>45</v>
      </c>
      <c r="E11" s="340"/>
      <c r="F11" s="15">
        <v>4535083.1237580404</v>
      </c>
      <c r="G11" s="341">
        <f t="shared" si="22"/>
        <v>0.21820186542990008</v>
      </c>
      <c r="H11" s="15">
        <v>4550161.0413039094</v>
      </c>
      <c r="I11" s="342">
        <f t="shared" si="23"/>
        <v>0.2184013059770839</v>
      </c>
      <c r="J11" s="343">
        <f t="shared" si="59"/>
        <v>15077.917545869015</v>
      </c>
      <c r="K11" s="15">
        <v>4747991.9641978256</v>
      </c>
      <c r="L11" s="342">
        <f t="shared" si="24"/>
        <v>0.22475751653450432</v>
      </c>
      <c r="M11" s="343">
        <f t="shared" si="60"/>
        <v>197830.92289391626</v>
      </c>
      <c r="N11" s="15">
        <f>MZ11</f>
        <v>4758928.0499999989</v>
      </c>
      <c r="O11" s="342">
        <f t="shared" si="25"/>
        <v>0.21708066010624519</v>
      </c>
      <c r="P11" s="343">
        <f t="shared" si="61"/>
        <v>10936.085802173242</v>
      </c>
      <c r="Q11" s="15">
        <f t="shared" si="62"/>
        <v>223844.92624195851</v>
      </c>
      <c r="R11" s="344">
        <f>O11/G11-1</f>
        <v>-5.1383856020016383E-3</v>
      </c>
      <c r="V11" s="385">
        <f t="shared" si="64"/>
        <v>4</v>
      </c>
      <c r="W11" s="386" t="s">
        <v>185</v>
      </c>
      <c r="X11" s="309">
        <f>X10/$H$24*100</f>
        <v>-0.149341083997174</v>
      </c>
      <c r="Y11" s="309">
        <f>Y10/$H$24*100</f>
        <v>7.8389827035509342E-5</v>
      </c>
      <c r="Z11" s="309">
        <f>Z10/$H$24*100</f>
        <v>0.30088423160851074</v>
      </c>
      <c r="AA11" s="309">
        <f>AA10/$H$24*100</f>
        <v>0.15162153743837226</v>
      </c>
      <c r="AB11" s="342"/>
      <c r="AC11" s="348"/>
      <c r="AF11" s="249">
        <f t="shared" si="80"/>
        <v>5</v>
      </c>
      <c r="AG11" s="346" t="s">
        <v>78</v>
      </c>
      <c r="AH11" s="105">
        <f>CQ9</f>
        <v>1771580.4609369074</v>
      </c>
      <c r="AI11" s="105">
        <f>DB9</f>
        <v>110738.507</v>
      </c>
      <c r="AJ11" s="347">
        <f>DL9</f>
        <v>532725.79619268049</v>
      </c>
      <c r="AN11" s="446">
        <v>6</v>
      </c>
      <c r="AO11" s="447"/>
      <c r="AP11" s="447"/>
      <c r="AQ11" s="447" t="s">
        <v>213</v>
      </c>
      <c r="AR11" s="448"/>
      <c r="AS11" s="449">
        <v>41149542.24840001</v>
      </c>
      <c r="AT11" s="450">
        <v>4.0127088112831091</v>
      </c>
      <c r="AU11" s="451"/>
      <c r="AV11" s="449">
        <v>43536109.595200002</v>
      </c>
      <c r="AW11" s="450">
        <v>4.0341900871360252</v>
      </c>
      <c r="AX11" s="452">
        <f>AW11/AT11-1</f>
        <v>5.3533104102929663E-3</v>
      </c>
      <c r="AY11" s="451"/>
      <c r="AZ11" s="449">
        <v>52475468.259999998</v>
      </c>
      <c r="BA11" s="450">
        <v>4.067434394135975</v>
      </c>
      <c r="BB11" s="452">
        <f>BA11/AW11-1</f>
        <v>8.2406397026151268E-3</v>
      </c>
      <c r="BC11" s="451"/>
      <c r="BD11" s="449">
        <v>60296489.323600002</v>
      </c>
      <c r="BE11" s="450">
        <v>4.1000982394224748</v>
      </c>
      <c r="BF11" s="452">
        <f>BE11/BA11-1</f>
        <v>8.0305770471900129E-3</v>
      </c>
      <c r="BG11" s="451"/>
      <c r="BH11" s="449">
        <v>61146922.538433343</v>
      </c>
      <c r="BI11" s="450">
        <v>4.0237731131168939</v>
      </c>
      <c r="BJ11" s="452">
        <f>BI11/BE11-1</f>
        <v>-1.8615438423331909E-2</v>
      </c>
      <c r="BK11" s="451"/>
      <c r="BL11" s="449">
        <v>67411697.978699997</v>
      </c>
      <c r="BM11" s="450">
        <v>4.0075180177968992</v>
      </c>
      <c r="BN11" s="452">
        <f>BM11/BI11-1</f>
        <v>-4.0397643860697885E-3</v>
      </c>
      <c r="BO11" s="451"/>
      <c r="BP11" s="449">
        <v>82733345.540000066</v>
      </c>
      <c r="BQ11" s="450">
        <v>4.4605216108185832</v>
      </c>
      <c r="BR11" s="452">
        <f>BQ11/BM11-1</f>
        <v>0.11303844200074709</v>
      </c>
      <c r="BS11" s="451"/>
      <c r="BT11" s="453">
        <v>96023263.244399965</v>
      </c>
      <c r="BU11" s="453">
        <v>4.8940141407676769</v>
      </c>
      <c r="BV11" s="453">
        <f>BU11/BQ11-1</f>
        <v>9.7184268516421479E-2</v>
      </c>
      <c r="BW11" s="22">
        <v>108271476.32980001</v>
      </c>
      <c r="BX11" s="23">
        <v>5.5933628300959608</v>
      </c>
      <c r="BY11" s="23">
        <f t="shared" si="65"/>
        <v>0.14289878803222744</v>
      </c>
      <c r="BZ11" s="23">
        <v>110405938.53159995</v>
      </c>
      <c r="CA11" s="23">
        <v>5.4123287588874414</v>
      </c>
      <c r="CB11" s="23">
        <f t="shared" si="66"/>
        <v>-3.2365873036956816E-2</v>
      </c>
      <c r="CC11" s="22">
        <f>F12</f>
        <v>104395539.42615813</v>
      </c>
      <c r="CD11" s="23">
        <f>G12</f>
        <v>5.0229071493781339</v>
      </c>
      <c r="CE11" s="352">
        <f t="shared" si="67"/>
        <v>-7.1950841653853459E-2</v>
      </c>
      <c r="CF11" s="454">
        <f t="shared" si="68"/>
        <v>1.5369793616651295</v>
      </c>
      <c r="CG11" s="352">
        <f t="shared" si="69"/>
        <v>5.3081666178149911E-2</v>
      </c>
      <c r="CP11" s="347"/>
      <c r="CT11" s="347"/>
      <c r="CV11" s="106"/>
      <c r="CX11" s="438"/>
      <c r="CY11" s="455"/>
      <c r="CZ11" s="105"/>
      <c r="DA11" s="518"/>
      <c r="DB11" s="105"/>
      <c r="DC11" s="344"/>
      <c r="DF11" s="106"/>
      <c r="DQ11" s="456">
        <v>6</v>
      </c>
      <c r="DR11" s="457" t="s">
        <v>214</v>
      </c>
      <c r="DS11" s="458"/>
      <c r="DT11" s="458"/>
      <c r="DU11" s="458"/>
      <c r="DV11" s="458"/>
      <c r="DW11" s="459">
        <v>1232847.5543047281</v>
      </c>
      <c r="DX11" s="458">
        <v>2154432.7668835837</v>
      </c>
      <c r="DY11" s="458">
        <v>3352134.5294021191</v>
      </c>
      <c r="DZ11" s="458">
        <v>6739414.8505904311</v>
      </c>
      <c r="EN11" s="103"/>
      <c r="EO11" s="408"/>
      <c r="FD11" s="103"/>
      <c r="FE11" s="408"/>
      <c r="FG11" s="338">
        <f t="shared" si="84"/>
        <v>6</v>
      </c>
      <c r="FH11" s="360"/>
      <c r="FI11" s="361" t="s">
        <v>215</v>
      </c>
      <c r="FJ11" s="20">
        <v>47401.000000000007</v>
      </c>
      <c r="FK11" s="20">
        <v>42434.12000000001</v>
      </c>
      <c r="FL11" s="20">
        <v>52030.61</v>
      </c>
      <c r="FM11" s="343">
        <f t="shared" si="28"/>
        <v>141865.73000000004</v>
      </c>
      <c r="FN11" s="20">
        <v>47464.545454545463</v>
      </c>
      <c r="FO11" s="20">
        <v>42434.12</v>
      </c>
      <c r="FP11" s="20">
        <v>52030.609999999993</v>
      </c>
      <c r="FQ11" s="20">
        <v>141929.27545454545</v>
      </c>
      <c r="FR11" s="20">
        <v>141929.27545454545</v>
      </c>
      <c r="FS11" s="103"/>
      <c r="FT11" s="301"/>
      <c r="FV11" s="338">
        <v>6</v>
      </c>
      <c r="FW11" s="340" t="s">
        <v>216</v>
      </c>
      <c r="FX11" s="20">
        <v>50000</v>
      </c>
      <c r="FY11" s="20">
        <v>60000</v>
      </c>
      <c r="FZ11" s="20">
        <v>40000</v>
      </c>
      <c r="GA11" s="343">
        <v>150000</v>
      </c>
      <c r="GB11" s="20">
        <v>0</v>
      </c>
      <c r="GC11" s="20">
        <v>0</v>
      </c>
      <c r="GD11" s="20">
        <v>0</v>
      </c>
      <c r="GE11" s="343">
        <f t="shared" ref="GE11:GE12" si="87">SUM(GB11:GD11)</f>
        <v>0</v>
      </c>
      <c r="GF11" s="300"/>
      <c r="GG11" s="301"/>
      <c r="GI11" s="456">
        <v>6</v>
      </c>
      <c r="GJ11" s="460" t="s">
        <v>217</v>
      </c>
      <c r="GK11" s="20">
        <v>0</v>
      </c>
      <c r="GL11" s="20">
        <v>0</v>
      </c>
      <c r="GM11" s="20">
        <v>0</v>
      </c>
      <c r="GN11" s="343">
        <f t="shared" si="2"/>
        <v>0</v>
      </c>
      <c r="GO11" s="20">
        <v>0</v>
      </c>
      <c r="GP11" s="20">
        <v>0</v>
      </c>
      <c r="GQ11" s="20">
        <v>0</v>
      </c>
      <c r="GR11" s="343">
        <f t="shared" ref="GR11" si="88">SUM(GO11:GQ11)</f>
        <v>0</v>
      </c>
      <c r="GS11" s="300"/>
      <c r="GT11" s="301"/>
      <c r="GV11" s="338">
        <v>6</v>
      </c>
      <c r="GW11" s="340" t="s">
        <v>218</v>
      </c>
      <c r="GX11" s="20">
        <v>63092.39</v>
      </c>
      <c r="GY11" s="20">
        <v>69565.040000000008</v>
      </c>
      <c r="GZ11" s="20">
        <v>89479.24</v>
      </c>
      <c r="HA11" s="343">
        <f t="shared" si="4"/>
        <v>222136.66999999998</v>
      </c>
      <c r="HB11" s="20">
        <v>9823</v>
      </c>
      <c r="HC11" s="20">
        <v>5642.7500000000073</v>
      </c>
      <c r="HD11" s="20">
        <v>26053.030000000021</v>
      </c>
      <c r="HE11" s="20">
        <f>SUM(HB11:HD11)</f>
        <v>41518.780000000028</v>
      </c>
      <c r="HF11" s="300"/>
      <c r="HG11" s="301"/>
      <c r="HW11" s="338">
        <v>6</v>
      </c>
      <c r="HX11" s="322">
        <v>6</v>
      </c>
      <c r="HY11" s="322">
        <v>10</v>
      </c>
      <c r="HZ11" s="322">
        <v>10</v>
      </c>
      <c r="IA11" s="347">
        <v>30951872</v>
      </c>
      <c r="IB11" s="347">
        <v>32402786</v>
      </c>
      <c r="IC11" s="342">
        <f t="shared" si="5"/>
        <v>1</v>
      </c>
      <c r="ID11" s="342">
        <f t="shared" si="6"/>
        <v>1.0468764538700599</v>
      </c>
      <c r="IE11" s="344">
        <v>0.9</v>
      </c>
      <c r="IF11" s="344">
        <v>0.1</v>
      </c>
      <c r="IG11" s="344">
        <v>0</v>
      </c>
      <c r="IK11" s="364">
        <v>6</v>
      </c>
      <c r="IL11" s="365">
        <v>6</v>
      </c>
      <c r="IM11" s="341">
        <f t="shared" si="7"/>
        <v>1.0468764538700599</v>
      </c>
      <c r="IN11" s="20">
        <v>0</v>
      </c>
      <c r="IO11" s="343">
        <f t="shared" si="29"/>
        <v>0</v>
      </c>
      <c r="IP11" s="20">
        <v>3369027</v>
      </c>
      <c r="IQ11" s="343">
        <v>3511615</v>
      </c>
      <c r="IR11" s="20">
        <v>1407569.3480000002</v>
      </c>
      <c r="IS11" s="343">
        <v>1440397</v>
      </c>
      <c r="IT11" s="20">
        <v>225000</v>
      </c>
      <c r="IU11" s="20">
        <v>225000</v>
      </c>
      <c r="IV11" s="20">
        <f t="shared" si="30"/>
        <v>1632569.3480000002</v>
      </c>
      <c r="IW11" s="20">
        <f t="shared" si="30"/>
        <v>1665397</v>
      </c>
      <c r="IX11" s="314"/>
      <c r="IY11" s="315"/>
      <c r="IZ11" s="314"/>
      <c r="JA11" s="366">
        <v>6</v>
      </c>
      <c r="JB11" s="365">
        <v>6</v>
      </c>
      <c r="JC11" s="367">
        <f t="shared" si="8"/>
        <v>1</v>
      </c>
      <c r="JD11" s="368">
        <f t="shared" si="8"/>
        <v>1.0468764538700599</v>
      </c>
      <c r="JE11" s="20">
        <v>638908.69272277597</v>
      </c>
      <c r="JF11" s="343">
        <f t="shared" si="70"/>
        <v>668858.46658437548</v>
      </c>
      <c r="JG11" s="20">
        <v>31460.6597</v>
      </c>
      <c r="JH11" s="343">
        <f t="shared" si="31"/>
        <v>32935.423863148702</v>
      </c>
      <c r="JI11" s="20">
        <v>378386.21757722402</v>
      </c>
      <c r="JJ11" s="343">
        <f t="shared" si="32"/>
        <v>378386.21757722402</v>
      </c>
      <c r="JK11" s="20">
        <v>469212.57936610642</v>
      </c>
      <c r="JL11" s="343">
        <v>466986.50599135744</v>
      </c>
      <c r="JM11" s="20">
        <v>81754.570000000007</v>
      </c>
      <c r="JN11" s="343">
        <f t="shared" si="33"/>
        <v>85586.934329271593</v>
      </c>
      <c r="JO11" s="20">
        <v>60206.102500000008</v>
      </c>
      <c r="JP11" s="343">
        <f t="shared" si="34"/>
        <v>63028.351086537354</v>
      </c>
      <c r="JQ11" s="20">
        <v>23702.44</v>
      </c>
      <c r="JR11" s="343">
        <f t="shared" si="35"/>
        <v>24813.526335267859</v>
      </c>
      <c r="JS11" s="20">
        <v>197875.27570000003</v>
      </c>
      <c r="JT11" s="343">
        <f t="shared" si="36"/>
        <v>207150.96693337648</v>
      </c>
      <c r="JU11" s="20">
        <f t="shared" si="37"/>
        <v>1881506.5375661065</v>
      </c>
      <c r="JV11" s="20">
        <f t="shared" si="37"/>
        <v>1927746.3927005585</v>
      </c>
      <c r="JW11" s="369">
        <f t="shared" si="9"/>
        <v>5.9493229770445</v>
      </c>
      <c r="KA11" s="338">
        <v>6</v>
      </c>
      <c r="KB11" s="322">
        <v>6</v>
      </c>
      <c r="KC11" s="518">
        <f t="shared" si="10"/>
        <v>10</v>
      </c>
      <c r="KD11" s="518">
        <f t="shared" si="11"/>
        <v>10</v>
      </c>
      <c r="KE11" s="370">
        <f t="shared" si="12"/>
        <v>32402786</v>
      </c>
      <c r="KF11" s="370">
        <f t="shared" si="13"/>
        <v>33625953.436581746</v>
      </c>
      <c r="KG11" s="371">
        <f t="shared" si="38"/>
        <v>1</v>
      </c>
      <c r="KH11" s="371">
        <f t="shared" si="39"/>
        <v>1.0377488354421669</v>
      </c>
      <c r="KI11" s="371">
        <f t="shared" si="40"/>
        <v>0.9360532046430986</v>
      </c>
      <c r="KJ11" s="322" t="s">
        <v>441</v>
      </c>
      <c r="KK11" s="322"/>
      <c r="KL11" s="323"/>
      <c r="KM11" s="322"/>
      <c r="KN11" s="338">
        <v>6</v>
      </c>
      <c r="KO11" s="322">
        <v>6</v>
      </c>
      <c r="KP11" s="437" t="str">
        <f t="shared" si="14"/>
        <v>Q2</v>
      </c>
      <c r="KQ11" s="373">
        <f t="shared" si="15"/>
        <v>0.9360532046430986</v>
      </c>
      <c r="KR11" s="358">
        <f t="shared" si="41"/>
        <v>0</v>
      </c>
      <c r="KS11" s="358">
        <f t="shared" si="42"/>
        <v>0</v>
      </c>
      <c r="KT11" s="358">
        <f t="shared" si="16"/>
        <v>3511615</v>
      </c>
      <c r="KU11" s="358">
        <f t="shared" si="43"/>
        <v>3679220.8282112675</v>
      </c>
      <c r="KV11" s="358">
        <f t="shared" si="17"/>
        <v>1440397</v>
      </c>
      <c r="KW11" s="358">
        <f t="shared" si="18"/>
        <v>2019699.9322808341</v>
      </c>
      <c r="KX11" s="358">
        <f t="shared" si="44"/>
        <v>225000</v>
      </c>
      <c r="KY11" s="358">
        <f t="shared" si="45"/>
        <v>72995.441687150276</v>
      </c>
      <c r="KZ11" s="358">
        <f t="shared" si="46"/>
        <v>1665397</v>
      </c>
      <c r="LA11" s="358">
        <f t="shared" si="46"/>
        <v>2092695.3739679842</v>
      </c>
      <c r="LB11" s="326"/>
      <c r="LC11" s="323"/>
      <c r="LD11" s="322"/>
      <c r="LE11" s="374">
        <f t="shared" si="71"/>
        <v>6</v>
      </c>
      <c r="LF11" s="375">
        <v>5</v>
      </c>
      <c r="LG11" s="376">
        <f t="shared" si="72"/>
        <v>1</v>
      </c>
      <c r="LH11" s="376">
        <f t="shared" si="72"/>
        <v>1.0377488354421667</v>
      </c>
      <c r="LI11" s="377">
        <v>92.086954396969617</v>
      </c>
      <c r="LJ11" s="290">
        <f t="shared" si="73"/>
        <v>436105.03048036346</v>
      </c>
      <c r="LK11" s="377">
        <v>92.086954396969617</v>
      </c>
      <c r="LL11" s="290">
        <f t="shared" si="47"/>
        <v>46561.047533350917</v>
      </c>
      <c r="LM11" s="377">
        <v>92.086954396969617</v>
      </c>
      <c r="LN11" s="290">
        <f t="shared" si="48"/>
        <v>350109.37346880755</v>
      </c>
      <c r="LO11" s="377">
        <v>119.50379714140099</v>
      </c>
      <c r="LP11" s="290">
        <f t="shared" si="74"/>
        <v>434609.88964075956</v>
      </c>
      <c r="LQ11" s="377">
        <v>120.433043671646</v>
      </c>
      <c r="LR11" s="290">
        <f t="shared" si="49"/>
        <v>92961.132683044823</v>
      </c>
      <c r="LS11" s="377">
        <v>146.40099357416699</v>
      </c>
      <c r="LT11" s="290">
        <f t="shared" si="50"/>
        <v>75213.422358126089</v>
      </c>
      <c r="LU11" s="377">
        <v>116.183248398364</v>
      </c>
      <c r="LV11" s="290">
        <f t="shared" si="51"/>
        <v>82826.991815774381</v>
      </c>
      <c r="LW11" s="377">
        <v>117.5956284153</v>
      </c>
      <c r="LX11" s="378">
        <f t="shared" si="52"/>
        <v>261634.58979526031</v>
      </c>
      <c r="LY11" s="379">
        <f t="shared" si="53"/>
        <v>1700454.6996445484</v>
      </c>
      <c r="LZ11" s="379">
        <f t="shared" si="75"/>
        <v>1780021.4777754871</v>
      </c>
      <c r="MA11" s="103"/>
      <c r="MB11" s="335"/>
      <c r="MD11" s="338">
        <v>6</v>
      </c>
      <c r="ME11" s="380">
        <v>6</v>
      </c>
      <c r="MF11" s="20">
        <f t="shared" si="19"/>
        <v>1632569.3480000002</v>
      </c>
      <c r="MG11" s="20">
        <f t="shared" si="19"/>
        <v>1665397</v>
      </c>
      <c r="MH11" s="343">
        <f t="shared" si="20"/>
        <v>2092695.3739679842</v>
      </c>
      <c r="MI11" s="20">
        <f t="shared" si="21"/>
        <v>1881506.5375661065</v>
      </c>
      <c r="MJ11" s="20">
        <f t="shared" si="21"/>
        <v>1927746.3927005585</v>
      </c>
      <c r="MK11" s="343">
        <f t="shared" si="54"/>
        <v>1804473.188626531</v>
      </c>
      <c r="ML11" s="20">
        <f t="shared" si="55"/>
        <v>-248937.1895661063</v>
      </c>
      <c r="MM11" s="20">
        <f>MG11-MJ11</f>
        <v>-262349.39270055853</v>
      </c>
      <c r="MN11" s="20">
        <f t="shared" si="55"/>
        <v>288222.18534145318</v>
      </c>
      <c r="MR11" s="338">
        <f>MR10+1</f>
        <v>6</v>
      </c>
      <c r="MS11" s="346" t="s">
        <v>219</v>
      </c>
      <c r="MT11" s="462">
        <v>5.3900000000000003E-2</v>
      </c>
      <c r="MX11" s="283">
        <f>MX10+1</f>
        <v>5</v>
      </c>
      <c r="MY11" s="388" t="s">
        <v>45</v>
      </c>
      <c r="MZ11" s="17">
        <v>4758928.0499999989</v>
      </c>
      <c r="NA11" s="381">
        <f t="shared" si="56"/>
        <v>0.21708066010624519</v>
      </c>
      <c r="NB11" s="97"/>
      <c r="NC11" s="18">
        <f>MZ11</f>
        <v>4758928.0499999989</v>
      </c>
      <c r="ND11" s="381">
        <f t="shared" si="57"/>
        <v>0.21708066010624519</v>
      </c>
      <c r="NH11" s="283">
        <f t="shared" si="86"/>
        <v>5</v>
      </c>
      <c r="NI11" s="388" t="str">
        <f t="shared" si="58"/>
        <v>Depot Viability Handling Commissions</v>
      </c>
      <c r="NJ11" s="17">
        <v>4822773.09</v>
      </c>
      <c r="NK11" s="17">
        <f>NC11</f>
        <v>4758928.0499999989</v>
      </c>
      <c r="NL11" s="17">
        <f t="shared" si="77"/>
        <v>-63845.040000000969</v>
      </c>
      <c r="NM11" s="395">
        <f t="shared" si="78"/>
        <v>-1.3238242564715183E-2</v>
      </c>
    </row>
    <row r="12" spans="2:387" ht="17.25" thickBot="1" x14ac:dyDescent="0.35">
      <c r="B12" s="265">
        <f>B11+1</f>
        <v>7</v>
      </c>
      <c r="C12" s="285" t="s">
        <v>220</v>
      </c>
      <c r="D12" s="284"/>
      <c r="E12" s="297"/>
      <c r="F12" s="18">
        <f>F9+F10+F11</f>
        <v>104395539.42615813</v>
      </c>
      <c r="G12" s="313">
        <f t="shared" si="22"/>
        <v>5.0229071493781339</v>
      </c>
      <c r="H12" s="18">
        <f>H9+H10+H11</f>
        <v>97875787.022206366</v>
      </c>
      <c r="I12" s="309">
        <f t="shared" si="23"/>
        <v>4.69789959413374</v>
      </c>
      <c r="J12" s="290">
        <f t="shared" si="59"/>
        <v>-6519752.4039517641</v>
      </c>
      <c r="K12" s="18">
        <f>K9+K10+K11</f>
        <v>99929255.975748464</v>
      </c>
      <c r="L12" s="309">
        <f t="shared" si="24"/>
        <v>4.7303895144743775</v>
      </c>
      <c r="M12" s="290">
        <f t="shared" si="60"/>
        <v>2053468.9535420984</v>
      </c>
      <c r="N12" s="18">
        <f>N9+N10+N11</f>
        <v>136638802.49533963</v>
      </c>
      <c r="O12" s="309">
        <f t="shared" si="25"/>
        <v>6.2328409108465506</v>
      </c>
      <c r="P12" s="290">
        <f t="shared" si="61"/>
        <v>36709546.519591168</v>
      </c>
      <c r="Q12" s="18">
        <f t="shared" si="62"/>
        <v>32243263.069181502</v>
      </c>
      <c r="R12" s="310">
        <f t="shared" si="63"/>
        <v>0.24088316297429735</v>
      </c>
      <c r="V12" s="249">
        <f t="shared" si="64"/>
        <v>5</v>
      </c>
      <c r="W12" s="463" t="s">
        <v>134</v>
      </c>
      <c r="X12" s="20">
        <f>X10-X7</f>
        <v>-2880561.9937847108</v>
      </c>
      <c r="Y12" s="20">
        <f t="shared" ref="Y12:AA12" si="89">Y10-Y7</f>
        <v>-1675208.4981671721</v>
      </c>
      <c r="Z12" s="20">
        <f t="shared" si="89"/>
        <v>2369604.2779440177</v>
      </c>
      <c r="AA12" s="20">
        <f t="shared" si="89"/>
        <v>-2186166.2140078652</v>
      </c>
      <c r="AB12" s="20"/>
      <c r="AC12" s="349"/>
      <c r="AF12" s="385">
        <f t="shared" si="80"/>
        <v>6</v>
      </c>
      <c r="AG12" s="388" t="s">
        <v>186</v>
      </c>
      <c r="AH12" s="389">
        <f>AH11*3600/$H$24</f>
        <v>3.0612009950408803</v>
      </c>
      <c r="AI12" s="389">
        <f>AI11*3600/$H$24</f>
        <v>0.19135051175630136</v>
      </c>
      <c r="AJ12" s="389">
        <f>AJ11*3600/$H$24</f>
        <v>0.92052309976738722</v>
      </c>
      <c r="AL12" s="464"/>
      <c r="AN12" s="283">
        <v>7</v>
      </c>
      <c r="AO12" s="284"/>
      <c r="AP12" s="282" t="s">
        <v>221</v>
      </c>
      <c r="AQ12" s="281"/>
      <c r="AR12" s="286"/>
      <c r="AS12" s="392"/>
      <c r="AT12" s="393"/>
      <c r="AU12" s="394"/>
      <c r="AV12" s="392"/>
      <c r="AW12" s="393"/>
      <c r="AX12" s="383"/>
      <c r="AY12" s="394"/>
      <c r="AZ12" s="392"/>
      <c r="BA12" s="465"/>
      <c r="BB12" s="383"/>
      <c r="BC12" s="394"/>
      <c r="BD12" s="392"/>
      <c r="BE12" s="465"/>
      <c r="BF12" s="383"/>
      <c r="BG12" s="394"/>
      <c r="BH12" s="392"/>
      <c r="BI12" s="465"/>
      <c r="BJ12" s="383"/>
      <c r="BK12" s="394"/>
      <c r="BL12" s="392"/>
      <c r="BM12" s="465"/>
      <c r="BN12" s="383"/>
      <c r="BO12" s="394"/>
      <c r="BP12" s="392"/>
      <c r="BQ12" s="465"/>
      <c r="BR12" s="383"/>
      <c r="BS12" s="394"/>
      <c r="BT12" s="97"/>
      <c r="BU12" s="97"/>
      <c r="BV12" s="97"/>
      <c r="BW12" s="18"/>
      <c r="BX12" s="19"/>
      <c r="BY12" s="19"/>
      <c r="BZ12" s="19"/>
      <c r="CA12" s="19"/>
      <c r="CB12" s="19"/>
      <c r="CC12" s="18"/>
      <c r="CD12" s="19"/>
      <c r="CE12" s="466"/>
      <c r="CF12" s="396"/>
      <c r="CG12" s="466"/>
      <c r="CU12" s="347"/>
      <c r="CV12" s="106"/>
      <c r="DA12" s="518"/>
      <c r="DF12" s="106"/>
      <c r="DH12" s="976"/>
      <c r="DI12" s="976"/>
      <c r="DJ12" s="355"/>
      <c r="DK12" s="355"/>
      <c r="DL12" s="355"/>
      <c r="DM12" s="344"/>
      <c r="DQ12" s="467">
        <v>7</v>
      </c>
      <c r="DR12" s="468" t="s">
        <v>72</v>
      </c>
      <c r="DS12" s="469">
        <f t="shared" ref="DS12:DZ12" si="90">SUM(DS7:DS11)</f>
        <v>3530087.5569999996</v>
      </c>
      <c r="DT12" s="469">
        <f t="shared" si="90"/>
        <v>6491478.3399999999</v>
      </c>
      <c r="DU12" s="469">
        <f t="shared" si="90"/>
        <v>14676147.762500003</v>
      </c>
      <c r="DV12" s="470">
        <f t="shared" si="90"/>
        <v>24697713.659500003</v>
      </c>
      <c r="DW12" s="469">
        <f t="shared" si="90"/>
        <v>4189591.6565660639</v>
      </c>
      <c r="DX12" s="469">
        <f t="shared" si="90"/>
        <v>6767505.2733571697</v>
      </c>
      <c r="DY12" s="469">
        <f t="shared" si="90"/>
        <v>10006244.025055984</v>
      </c>
      <c r="DZ12" s="469">
        <f t="shared" si="90"/>
        <v>20963340.954979219</v>
      </c>
      <c r="EN12" s="103"/>
      <c r="EO12" s="408"/>
      <c r="FD12" s="103"/>
      <c r="FE12" s="408"/>
      <c r="FG12" s="283">
        <f t="shared" si="84"/>
        <v>7</v>
      </c>
      <c r="FH12" s="406"/>
      <c r="FI12" s="407" t="s">
        <v>222</v>
      </c>
      <c r="FJ12" s="17">
        <v>148012.14499999996</v>
      </c>
      <c r="FK12" s="17">
        <v>277116.79999999999</v>
      </c>
      <c r="FL12" s="17">
        <v>328144.58999999997</v>
      </c>
      <c r="FM12" s="290">
        <f t="shared" si="28"/>
        <v>753273.53499999992</v>
      </c>
      <c r="FN12" s="17">
        <v>150334.44712121214</v>
      </c>
      <c r="FO12" s="17">
        <v>277176</v>
      </c>
      <c r="FP12" s="17">
        <v>328144.58999999997</v>
      </c>
      <c r="FQ12" s="17">
        <v>755655.03712121211</v>
      </c>
      <c r="FR12" s="17">
        <v>755655.03712121211</v>
      </c>
      <c r="FS12" s="103"/>
      <c r="FT12" s="408"/>
      <c r="FV12" s="283">
        <v>7</v>
      </c>
      <c r="FW12" s="286" t="s">
        <v>223</v>
      </c>
      <c r="FX12" s="17">
        <v>0</v>
      </c>
      <c r="FY12" s="17">
        <v>0</v>
      </c>
      <c r="FZ12" s="17">
        <v>0</v>
      </c>
      <c r="GA12" s="290">
        <v>0</v>
      </c>
      <c r="GB12" s="17">
        <v>0</v>
      </c>
      <c r="GC12" s="17">
        <v>0</v>
      </c>
      <c r="GD12" s="17">
        <v>0</v>
      </c>
      <c r="GE12" s="290">
        <f t="shared" si="87"/>
        <v>0</v>
      </c>
      <c r="GF12" s="103"/>
      <c r="GG12" s="301"/>
      <c r="GI12" s="467">
        <v>7</v>
      </c>
      <c r="GJ12" s="471" t="s">
        <v>89</v>
      </c>
      <c r="GK12" s="469">
        <f t="shared" ref="GK12:GR12" si="91">SUM(GK6:GK11)</f>
        <v>0</v>
      </c>
      <c r="GL12" s="469">
        <f t="shared" si="91"/>
        <v>0</v>
      </c>
      <c r="GM12" s="469">
        <f t="shared" si="91"/>
        <v>0</v>
      </c>
      <c r="GN12" s="470">
        <f t="shared" si="91"/>
        <v>0</v>
      </c>
      <c r="GO12" s="469">
        <f t="shared" si="91"/>
        <v>0</v>
      </c>
      <c r="GP12" s="469">
        <f t="shared" si="91"/>
        <v>0</v>
      </c>
      <c r="GQ12" s="469">
        <f t="shared" si="91"/>
        <v>0</v>
      </c>
      <c r="GR12" s="470">
        <f t="shared" si="91"/>
        <v>0</v>
      </c>
      <c r="GS12" s="103"/>
      <c r="GT12" s="301"/>
      <c r="GV12" s="283">
        <v>7</v>
      </c>
      <c r="GW12" s="286" t="s">
        <v>224</v>
      </c>
      <c r="GX12" s="17">
        <f>FX14</f>
        <v>246822.49</v>
      </c>
      <c r="GY12" s="17">
        <f t="shared" ref="GY12:GZ12" si="92">FY14</f>
        <v>506083.3639</v>
      </c>
      <c r="GZ12" s="17">
        <f t="shared" si="92"/>
        <v>1023549.4600000001</v>
      </c>
      <c r="HA12" s="290">
        <f t="shared" ref="HA12:HA13" si="93">SUM(GX12:GZ12)</f>
        <v>1776455.3139</v>
      </c>
      <c r="HB12" s="17">
        <f>GB14</f>
        <v>0</v>
      </c>
      <c r="HC12" s="17">
        <f t="shared" ref="HC12:HD12" si="94">GC14</f>
        <v>0</v>
      </c>
      <c r="HD12" s="17">
        <f t="shared" si="94"/>
        <v>0</v>
      </c>
      <c r="HE12" s="17">
        <f t="shared" ref="HE12" si="95">SUM(HB12:HD12)</f>
        <v>0</v>
      </c>
      <c r="HF12" s="103"/>
      <c r="HG12" s="301"/>
      <c r="HW12" s="283">
        <v>7</v>
      </c>
      <c r="HX12" s="306">
        <v>7</v>
      </c>
      <c r="HY12" s="306">
        <v>10</v>
      </c>
      <c r="HZ12" s="306">
        <v>12</v>
      </c>
      <c r="IA12" s="307">
        <v>35567652</v>
      </c>
      <c r="IB12" s="307">
        <v>43926482</v>
      </c>
      <c r="IC12" s="309">
        <f t="shared" si="5"/>
        <v>1.2</v>
      </c>
      <c r="ID12" s="309">
        <f t="shared" si="6"/>
        <v>1.2350121396824283</v>
      </c>
      <c r="IE12" s="310">
        <v>1</v>
      </c>
      <c r="IF12" s="310">
        <v>0</v>
      </c>
      <c r="IG12" s="310">
        <v>0</v>
      </c>
      <c r="IK12" s="410">
        <v>7</v>
      </c>
      <c r="IL12" s="317">
        <v>7</v>
      </c>
      <c r="IM12" s="313">
        <f t="shared" si="7"/>
        <v>1.2350121396824283</v>
      </c>
      <c r="IN12" s="17">
        <v>0</v>
      </c>
      <c r="IO12" s="290">
        <f t="shared" si="29"/>
        <v>0</v>
      </c>
      <c r="IP12" s="17">
        <v>3906290</v>
      </c>
      <c r="IQ12" s="290">
        <v>4775399</v>
      </c>
      <c r="IR12" s="17">
        <v>1655811.4653</v>
      </c>
      <c r="IS12" s="290">
        <v>2007169</v>
      </c>
      <c r="IT12" s="17">
        <v>225000</v>
      </c>
      <c r="IU12" s="17">
        <v>270000</v>
      </c>
      <c r="IV12" s="17">
        <f t="shared" si="30"/>
        <v>1880811.4653</v>
      </c>
      <c r="IW12" s="17">
        <f t="shared" si="30"/>
        <v>2277169</v>
      </c>
      <c r="IX12" s="314"/>
      <c r="IY12" s="315"/>
      <c r="IZ12" s="314"/>
      <c r="JA12" s="316">
        <v>7</v>
      </c>
      <c r="JB12" s="317">
        <v>7</v>
      </c>
      <c r="JC12" s="318">
        <f t="shared" si="8"/>
        <v>1.2</v>
      </c>
      <c r="JD12" s="319">
        <f t="shared" si="8"/>
        <v>1.2350121396824283</v>
      </c>
      <c r="JE12" s="17">
        <v>534015.33116052148</v>
      </c>
      <c r="JF12" s="290">
        <f t="shared" si="70"/>
        <v>659515.41675977618</v>
      </c>
      <c r="JG12" s="17">
        <v>140368.72915</v>
      </c>
      <c r="JH12" s="290">
        <f t="shared" si="31"/>
        <v>173357.08453204474</v>
      </c>
      <c r="JI12" s="17">
        <v>308346.51058947854</v>
      </c>
      <c r="JJ12" s="290">
        <f t="shared" si="32"/>
        <v>370015.81270737422</v>
      </c>
      <c r="JK12" s="17">
        <v>430609.7511015131</v>
      </c>
      <c r="JL12" s="290">
        <v>523413.17756288225</v>
      </c>
      <c r="JM12" s="17">
        <v>119760.47224999996</v>
      </c>
      <c r="JN12" s="290">
        <f t="shared" si="33"/>
        <v>147905.63708285053</v>
      </c>
      <c r="JO12" s="17">
        <v>53415.915999999997</v>
      </c>
      <c r="JP12" s="290">
        <f t="shared" si="34"/>
        <v>65969.304712256853</v>
      </c>
      <c r="JQ12" s="17">
        <v>62226.089999999989</v>
      </c>
      <c r="JR12" s="290">
        <f t="shared" si="35"/>
        <v>76849.976554971334</v>
      </c>
      <c r="JS12" s="17">
        <v>200200.63380000001</v>
      </c>
      <c r="JT12" s="290">
        <f t="shared" si="36"/>
        <v>247250.21311511629</v>
      </c>
      <c r="JU12" s="17">
        <f t="shared" si="37"/>
        <v>1848943.434051513</v>
      </c>
      <c r="JV12" s="17">
        <f t="shared" si="37"/>
        <v>2264276.6230272725</v>
      </c>
      <c r="JW12" s="320">
        <f t="shared" si="9"/>
        <v>5.1546960283030918</v>
      </c>
      <c r="KA12" s="283">
        <v>7</v>
      </c>
      <c r="KB12" s="306">
        <v>7</v>
      </c>
      <c r="KC12" s="97">
        <f t="shared" si="10"/>
        <v>12</v>
      </c>
      <c r="KD12" s="97">
        <f t="shared" si="11"/>
        <v>12</v>
      </c>
      <c r="KE12" s="289">
        <f t="shared" si="12"/>
        <v>43926482</v>
      </c>
      <c r="KF12" s="289">
        <f t="shared" si="13"/>
        <v>45584655.540571295</v>
      </c>
      <c r="KG12" s="321">
        <f t="shared" si="38"/>
        <v>1</v>
      </c>
      <c r="KH12" s="321">
        <f t="shared" si="39"/>
        <v>1.0377488354421667</v>
      </c>
      <c r="KI12" s="321">
        <f t="shared" si="40"/>
        <v>0.97621128727690376</v>
      </c>
      <c r="KJ12" s="306" t="s">
        <v>256</v>
      </c>
      <c r="KK12" s="322"/>
      <c r="KL12" s="323"/>
      <c r="KM12" s="322"/>
      <c r="KN12" s="283">
        <v>7</v>
      </c>
      <c r="KO12" s="306">
        <v>7</v>
      </c>
      <c r="KP12" s="324" t="str">
        <f t="shared" si="14"/>
        <v>Q3</v>
      </c>
      <c r="KQ12" s="325">
        <f t="shared" si="15"/>
        <v>0.97621128727690376</v>
      </c>
      <c r="KR12" s="17">
        <f t="shared" si="41"/>
        <v>0</v>
      </c>
      <c r="KS12" s="17">
        <f t="shared" si="42"/>
        <v>0</v>
      </c>
      <c r="KT12" s="17">
        <f t="shared" si="16"/>
        <v>4775399</v>
      </c>
      <c r="KU12" s="17">
        <f t="shared" si="43"/>
        <v>4987695.4248454841</v>
      </c>
      <c r="KV12" s="17">
        <f t="shared" si="17"/>
        <v>2007169</v>
      </c>
      <c r="KW12" s="17">
        <f t="shared" si="18"/>
        <v>2737984.0955878077</v>
      </c>
      <c r="KX12" s="17">
        <f t="shared" si="44"/>
        <v>270000</v>
      </c>
      <c r="KY12" s="17">
        <f t="shared" si="45"/>
        <v>98955.471154630228</v>
      </c>
      <c r="KZ12" s="17">
        <f t="shared" si="46"/>
        <v>2277169</v>
      </c>
      <c r="LA12" s="17">
        <f t="shared" si="46"/>
        <v>2836939.5667424379</v>
      </c>
      <c r="LB12" s="326"/>
      <c r="LC12" s="323"/>
      <c r="LD12" s="322"/>
      <c r="LE12" s="364">
        <f t="shared" si="71"/>
        <v>7</v>
      </c>
      <c r="LF12" s="365">
        <v>6</v>
      </c>
      <c r="LG12" s="411">
        <f t="shared" si="72"/>
        <v>1</v>
      </c>
      <c r="LH12" s="411">
        <f t="shared" si="72"/>
        <v>1.0377488354421669</v>
      </c>
      <c r="LI12" s="412">
        <v>113.92083696213525</v>
      </c>
      <c r="LJ12" s="343">
        <f t="shared" si="73"/>
        <v>572103.3962299152</v>
      </c>
      <c r="LK12" s="412">
        <v>113.92083696213525</v>
      </c>
      <c r="LL12" s="343">
        <f t="shared" si="47"/>
        <v>28171.083704151955</v>
      </c>
      <c r="LM12" s="412">
        <v>113.92083696213525</v>
      </c>
      <c r="LN12" s="343">
        <f t="shared" si="48"/>
        <v>311877.00254402391</v>
      </c>
      <c r="LO12" s="412">
        <v>118.41952153062</v>
      </c>
      <c r="LP12" s="343">
        <f t="shared" si="74"/>
        <v>489282.12489814521</v>
      </c>
      <c r="LQ12" s="412">
        <v>118.887537452888</v>
      </c>
      <c r="LR12" s="343">
        <f t="shared" si="49"/>
        <v>93323.328144144703</v>
      </c>
      <c r="LS12" s="412">
        <v>168.49721907230401</v>
      </c>
      <c r="LT12" s="343">
        <f t="shared" si="50"/>
        <v>55438.008044229195</v>
      </c>
      <c r="LU12" s="412">
        <v>107.679074448752</v>
      </c>
      <c r="LV12" s="343">
        <f t="shared" si="51"/>
        <v>28196.236172582448</v>
      </c>
      <c r="LW12" s="412">
        <v>115.99271402550001</v>
      </c>
      <c r="LX12" s="343">
        <f t="shared" si="52"/>
        <v>226082.00888933847</v>
      </c>
      <c r="LY12" s="20">
        <f t="shared" si="53"/>
        <v>1927746.3927005585</v>
      </c>
      <c r="LZ12" s="20">
        <f t="shared" si="75"/>
        <v>1804473.188626531</v>
      </c>
      <c r="MA12" s="103"/>
      <c r="MB12" s="335"/>
      <c r="MD12" s="283">
        <v>7</v>
      </c>
      <c r="ME12" s="336">
        <v>7</v>
      </c>
      <c r="MF12" s="17">
        <f t="shared" si="19"/>
        <v>1880811.4653</v>
      </c>
      <c r="MG12" s="17">
        <f t="shared" si="19"/>
        <v>2277169</v>
      </c>
      <c r="MH12" s="290">
        <f t="shared" si="20"/>
        <v>2836939.5667424379</v>
      </c>
      <c r="MI12" s="17">
        <f t="shared" si="21"/>
        <v>1848943.434051513</v>
      </c>
      <c r="MJ12" s="17">
        <f t="shared" si="21"/>
        <v>2264276.6230272725</v>
      </c>
      <c r="MK12" s="290">
        <f t="shared" si="54"/>
        <v>2210412.3969164542</v>
      </c>
      <c r="ML12" s="17">
        <f t="shared" si="55"/>
        <v>31868.031248487066</v>
      </c>
      <c r="MM12" s="17">
        <f>MG12-MJ12</f>
        <v>12892.376972727478</v>
      </c>
      <c r="MN12" s="17">
        <f t="shared" si="55"/>
        <v>626527.1698259837</v>
      </c>
      <c r="MR12" s="283">
        <f t="shared" si="76"/>
        <v>7</v>
      </c>
      <c r="MS12" s="413" t="s">
        <v>225</v>
      </c>
      <c r="MT12" s="32">
        <f>MT9/(1-MT11)</f>
        <v>352473509.16339827</v>
      </c>
      <c r="MX12" s="338">
        <f>MX11+1</f>
        <v>6</v>
      </c>
      <c r="MY12" s="447" t="s">
        <v>220</v>
      </c>
      <c r="MZ12" s="24">
        <f>N12</f>
        <v>136638802.49533963</v>
      </c>
      <c r="NA12" s="472">
        <f t="shared" si="56"/>
        <v>6.2328409108465506</v>
      </c>
      <c r="NB12" s="453"/>
      <c r="NC12" s="22">
        <f>NC9+NC10+NC11</f>
        <v>113100124.88731009</v>
      </c>
      <c r="ND12" s="472">
        <f t="shared" si="57"/>
        <v>5.1591134622504011</v>
      </c>
      <c r="NH12" s="338">
        <f t="shared" si="86"/>
        <v>6</v>
      </c>
      <c r="NI12" s="447" t="str">
        <f t="shared" si="58"/>
        <v>Net Revenue</v>
      </c>
      <c r="NJ12" s="24">
        <v>106708111.01526074</v>
      </c>
      <c r="NK12" s="24">
        <f>MZ12</f>
        <v>136638802.49533963</v>
      </c>
      <c r="NL12" s="24">
        <f t="shared" si="77"/>
        <v>29930691.480078891</v>
      </c>
      <c r="NM12" s="473">
        <f t="shared" si="78"/>
        <v>0.2804912503398958</v>
      </c>
    </row>
    <row r="13" spans="2:387" x14ac:dyDescent="0.3">
      <c r="B13" s="226">
        <f t="shared" si="79"/>
        <v>8</v>
      </c>
      <c r="C13" s="474" t="s">
        <v>221</v>
      </c>
      <c r="D13" s="475"/>
      <c r="E13" s="476"/>
      <c r="F13" s="15"/>
      <c r="G13" s="341"/>
      <c r="H13" s="15"/>
      <c r="I13" s="342"/>
      <c r="J13" s="343"/>
      <c r="K13" s="15"/>
      <c r="L13" s="342"/>
      <c r="M13" s="343"/>
      <c r="N13" s="15"/>
      <c r="O13" s="342"/>
      <c r="P13" s="343"/>
      <c r="Q13" s="15"/>
      <c r="R13" s="344"/>
      <c r="V13" s="275"/>
      <c r="W13" s="276" t="s">
        <v>27</v>
      </c>
      <c r="X13" s="415"/>
      <c r="Y13" s="416"/>
      <c r="Z13" s="416"/>
      <c r="AA13" s="416"/>
      <c r="AB13" s="279"/>
      <c r="AC13" s="351"/>
      <c r="AF13" s="417">
        <f t="shared" si="80"/>
        <v>7</v>
      </c>
      <c r="AG13" s="418" t="s">
        <v>195</v>
      </c>
      <c r="AH13" s="477">
        <f>JE26/AH11</f>
        <v>20.537971247053672</v>
      </c>
      <c r="AI13" s="477">
        <f>JG26/AI11</f>
        <v>19.390724851022238</v>
      </c>
      <c r="AJ13" s="477">
        <f>JI26/AJ11</f>
        <v>32.342338831236454</v>
      </c>
      <c r="AL13" s="464"/>
      <c r="AN13" s="338">
        <v>8</v>
      </c>
      <c r="AO13" s="96"/>
      <c r="AQ13" s="518" t="s">
        <v>47</v>
      </c>
      <c r="AR13" s="340"/>
      <c r="AS13" s="348">
        <v>12784699.6164</v>
      </c>
      <c r="AT13" s="349">
        <v>1.2467034624748656</v>
      </c>
      <c r="AU13" s="350"/>
      <c r="AV13" s="348">
        <v>13940512.122199997</v>
      </c>
      <c r="AW13" s="349">
        <v>1.2917708159017343</v>
      </c>
      <c r="AX13" s="351">
        <f t="shared" ref="AX13:AX20" si="96">AW13/AT13-1</f>
        <v>3.6149216540559026E-2</v>
      </c>
      <c r="AY13" s="350"/>
      <c r="AZ13" s="348">
        <v>16686157.735618668</v>
      </c>
      <c r="BA13" s="349">
        <v>1.2933634349589591</v>
      </c>
      <c r="BB13" s="351">
        <f t="shared" ref="BB13:BB20" si="97">BA13/AW13-1</f>
        <v>1.2328959886844792E-3</v>
      </c>
      <c r="BC13" s="350"/>
      <c r="BD13" s="348">
        <v>19121063.134010617</v>
      </c>
      <c r="BE13" s="349">
        <v>1.3002123037527811</v>
      </c>
      <c r="BF13" s="351">
        <f t="shared" ref="BF13:BF20" si="98">BE13/BA13-1</f>
        <v>5.2953938612307905E-3</v>
      </c>
      <c r="BG13" s="350"/>
      <c r="BH13" s="348">
        <v>21345531.913160004</v>
      </c>
      <c r="BI13" s="349">
        <v>1.4046426840756656</v>
      </c>
      <c r="BJ13" s="351">
        <f t="shared" ref="BJ13:BJ20" si="99">BI13/BE13-1</f>
        <v>8.0317945016724401E-2</v>
      </c>
      <c r="BK13" s="350"/>
      <c r="BL13" s="348">
        <v>23918047.727200001</v>
      </c>
      <c r="BM13" s="349">
        <v>1.4218898216681388</v>
      </c>
      <c r="BN13" s="351">
        <f t="shared" ref="BN13:BN20" si="100">BM13/BI13-1</f>
        <v>1.2278665448517856E-2</v>
      </c>
      <c r="BO13" s="350"/>
      <c r="BP13" s="348">
        <v>28535397.766300008</v>
      </c>
      <c r="BQ13" s="349">
        <v>1.5384698585450844</v>
      </c>
      <c r="BR13" s="351">
        <f t="shared" ref="BR13:BR20" si="101">BQ13/BM13-1</f>
        <v>8.1989500944718685E-2</v>
      </c>
      <c r="BS13" s="350"/>
      <c r="BT13" s="518">
        <v>32304174</v>
      </c>
      <c r="BU13" s="518">
        <v>1.65</v>
      </c>
      <c r="BV13" s="518">
        <f t="shared" ref="BV13:BV20" si="102">BU13/BQ13-1</f>
        <v>7.2494199893125222E-2</v>
      </c>
      <c r="BW13" s="15">
        <v>36103152.515199989</v>
      </c>
      <c r="BX13" s="16">
        <v>1.8651083200592218</v>
      </c>
      <c r="BY13" s="16">
        <f t="shared" si="65"/>
        <v>0.13036867882377079</v>
      </c>
      <c r="BZ13" s="16">
        <v>36687111.743471108</v>
      </c>
      <c r="CA13" s="16">
        <v>1.7984785294214409</v>
      </c>
      <c r="CB13" s="16">
        <f t="shared" si="66"/>
        <v>-3.5724354409434667E-2</v>
      </c>
      <c r="CC13" s="15">
        <f t="shared" ref="CC13:CD16" si="103">F14</f>
        <v>37593268.407299995</v>
      </c>
      <c r="CD13" s="16">
        <f t="shared" si="103"/>
        <v>1.8087697778034015</v>
      </c>
      <c r="CE13" s="352">
        <f t="shared" ref="CE13:CE20" si="104">CD13/CA13-1</f>
        <v>5.722196964603965E-3</v>
      </c>
      <c r="CF13" s="353">
        <f t="shared" si="68"/>
        <v>1.9404889856837917</v>
      </c>
      <c r="CG13" s="352">
        <f t="shared" ref="CG13:CG23" si="105">(CF13+1)^(1/(2022-2004))-1</f>
        <v>6.1752540262295819E-2</v>
      </c>
      <c r="DA13" s="518"/>
      <c r="DH13" s="976"/>
      <c r="DI13" s="976"/>
      <c r="DJ13" s="355"/>
      <c r="DK13" s="355"/>
      <c r="DL13" s="355"/>
      <c r="DM13" s="344"/>
      <c r="DW13" s="96"/>
      <c r="DX13" s="96"/>
      <c r="DY13" s="96"/>
      <c r="DZ13" s="96"/>
      <c r="EB13" s="94"/>
      <c r="EN13" s="103"/>
      <c r="EO13" s="408"/>
      <c r="FD13" s="103"/>
      <c r="FE13" s="408"/>
      <c r="FG13" s="338">
        <f t="shared" si="84"/>
        <v>8</v>
      </c>
      <c r="FH13" s="360"/>
      <c r="FI13" s="361" t="s">
        <v>226</v>
      </c>
      <c r="FJ13" s="20">
        <v>372570.14490000001</v>
      </c>
      <c r="FK13" s="20">
        <v>432666.99</v>
      </c>
      <c r="FL13" s="20">
        <v>764335.16999999993</v>
      </c>
      <c r="FM13" s="343">
        <f t="shared" si="28"/>
        <v>1569572.3048999999</v>
      </c>
      <c r="FN13" s="20">
        <v>383216.99338484858</v>
      </c>
      <c r="FO13" s="20">
        <v>433325.38999999996</v>
      </c>
      <c r="FP13" s="20">
        <v>764335.17</v>
      </c>
      <c r="FQ13" s="20">
        <v>1580877.5533848486</v>
      </c>
      <c r="FR13" s="20">
        <v>1580877.5533848486</v>
      </c>
      <c r="FS13" s="103"/>
      <c r="FT13" s="408"/>
      <c r="FV13" s="456">
        <v>8</v>
      </c>
      <c r="FW13" s="478" t="s">
        <v>227</v>
      </c>
      <c r="FX13" s="20">
        <v>118240.69</v>
      </c>
      <c r="FY13" s="20">
        <v>400895.28</v>
      </c>
      <c r="FZ13" s="20">
        <v>671940.67</v>
      </c>
      <c r="GA13" s="343">
        <v>1191076.6400000001</v>
      </c>
      <c r="GB13" s="20">
        <v>0</v>
      </c>
      <c r="GC13" s="20">
        <v>0</v>
      </c>
      <c r="GD13" s="20">
        <v>0</v>
      </c>
      <c r="GE13" s="343">
        <f t="shared" si="1"/>
        <v>0</v>
      </c>
      <c r="GG13" s="301"/>
      <c r="GT13" s="301"/>
      <c r="GV13" s="456">
        <v>8</v>
      </c>
      <c r="GW13" s="478" t="s">
        <v>228</v>
      </c>
      <c r="GX13" s="20">
        <f>GK12</f>
        <v>0</v>
      </c>
      <c r="GY13" s="20">
        <f t="shared" ref="GY13:GZ13" si="106">GL12</f>
        <v>0</v>
      </c>
      <c r="GZ13" s="20">
        <f t="shared" si="106"/>
        <v>0</v>
      </c>
      <c r="HA13" s="343">
        <f t="shared" si="93"/>
        <v>0</v>
      </c>
      <c r="HB13" s="20">
        <f>GO12</f>
        <v>0</v>
      </c>
      <c r="HC13" s="20">
        <f t="shared" ref="HC13:HE13" si="107">GP12</f>
        <v>0</v>
      </c>
      <c r="HD13" s="20">
        <f t="shared" si="107"/>
        <v>0</v>
      </c>
      <c r="HE13" s="20">
        <f t="shared" si="107"/>
        <v>0</v>
      </c>
      <c r="HG13" s="301"/>
      <c r="HW13" s="338">
        <v>8</v>
      </c>
      <c r="HX13" s="322">
        <v>8</v>
      </c>
      <c r="HY13" s="322">
        <v>11</v>
      </c>
      <c r="HZ13" s="322">
        <v>10</v>
      </c>
      <c r="IA13" s="347">
        <v>46754320</v>
      </c>
      <c r="IB13" s="347">
        <v>42400765</v>
      </c>
      <c r="IC13" s="342">
        <f t="shared" si="5"/>
        <v>0.90909090909090906</v>
      </c>
      <c r="ID13" s="342">
        <f t="shared" si="6"/>
        <v>0.90688443335289659</v>
      </c>
      <c r="IE13" s="344">
        <v>1</v>
      </c>
      <c r="IF13" s="344">
        <v>0</v>
      </c>
      <c r="IG13" s="344">
        <v>0</v>
      </c>
      <c r="IK13" s="364">
        <v>8</v>
      </c>
      <c r="IL13" s="365">
        <v>8</v>
      </c>
      <c r="IM13" s="341">
        <f t="shared" si="7"/>
        <v>0.90688443335289659</v>
      </c>
      <c r="IN13" s="20">
        <v>1215</v>
      </c>
      <c r="IO13" s="343">
        <f t="shared" si="29"/>
        <v>1101.8645865237693</v>
      </c>
      <c r="IP13" s="20">
        <v>5068135</v>
      </c>
      <c r="IQ13" s="343">
        <v>4100517</v>
      </c>
      <c r="IR13" s="20">
        <v>2068139.1013000002</v>
      </c>
      <c r="IS13" s="343">
        <v>1665222</v>
      </c>
      <c r="IT13" s="20">
        <v>247500</v>
      </c>
      <c r="IU13" s="20">
        <v>225000</v>
      </c>
      <c r="IV13" s="20">
        <f t="shared" si="30"/>
        <v>2316854.1013000002</v>
      </c>
      <c r="IW13" s="20">
        <f t="shared" si="30"/>
        <v>1891323.8645865237</v>
      </c>
      <c r="IX13" s="314"/>
      <c r="IY13" s="315"/>
      <c r="IZ13" s="314"/>
      <c r="JA13" s="366">
        <v>8</v>
      </c>
      <c r="JB13" s="365">
        <v>8</v>
      </c>
      <c r="JC13" s="367">
        <f t="shared" si="8"/>
        <v>0.90909090909090906</v>
      </c>
      <c r="JD13" s="368">
        <f t="shared" si="8"/>
        <v>0.90688443335289659</v>
      </c>
      <c r="JE13" s="20">
        <v>765725.39359878015</v>
      </c>
      <c r="JF13" s="343">
        <f t="shared" si="70"/>
        <v>694424.43967775349</v>
      </c>
      <c r="JG13" s="20">
        <v>88308.025000000009</v>
      </c>
      <c r="JH13" s="343">
        <f t="shared" si="31"/>
        <v>80085.17321263843</v>
      </c>
      <c r="JI13" s="20">
        <v>479200.50340121984</v>
      </c>
      <c r="JJ13" s="343">
        <f t="shared" si="32"/>
        <v>435636.82127383619</v>
      </c>
      <c r="JK13" s="20">
        <v>627154.02980366477</v>
      </c>
      <c r="JL13" s="343">
        <v>592911.97216258664</v>
      </c>
      <c r="JM13" s="20">
        <v>44114.474999999991</v>
      </c>
      <c r="JN13" s="343">
        <f t="shared" si="33"/>
        <v>40006.730663035516</v>
      </c>
      <c r="JO13" s="20">
        <v>66525.029500000019</v>
      </c>
      <c r="JP13" s="343">
        <f t="shared" si="34"/>
        <v>60330.513681892247</v>
      </c>
      <c r="JQ13" s="20">
        <v>54149.519</v>
      </c>
      <c r="JR13" s="343">
        <f t="shared" si="35"/>
        <v>49107.355854646907</v>
      </c>
      <c r="JS13" s="20">
        <v>291219.13010000007</v>
      </c>
      <c r="JT13" s="343">
        <f t="shared" si="36"/>
        <v>264102.09578226204</v>
      </c>
      <c r="JU13" s="20">
        <f t="shared" si="37"/>
        <v>2416396.105403665</v>
      </c>
      <c r="JV13" s="20">
        <f t="shared" si="37"/>
        <v>2216605.1023086514</v>
      </c>
      <c r="JW13" s="369">
        <f t="shared" si="9"/>
        <v>5.2277479010311527</v>
      </c>
      <c r="KA13" s="338">
        <v>8</v>
      </c>
      <c r="KB13" s="322">
        <v>8</v>
      </c>
      <c r="KC13" s="518">
        <f t="shared" si="10"/>
        <v>10</v>
      </c>
      <c r="KD13" s="518">
        <f t="shared" si="11"/>
        <v>10</v>
      </c>
      <c r="KE13" s="370">
        <f t="shared" si="12"/>
        <v>42400765</v>
      </c>
      <c r="KF13" s="370">
        <f t="shared" si="13"/>
        <v>44001344.500606984</v>
      </c>
      <c r="KG13" s="371">
        <f t="shared" si="38"/>
        <v>1</v>
      </c>
      <c r="KH13" s="371">
        <f t="shared" si="39"/>
        <v>1.0377488354421667</v>
      </c>
      <c r="KI13" s="371">
        <f t="shared" si="40"/>
        <v>1.046415478555196</v>
      </c>
      <c r="KJ13" s="322" t="s">
        <v>440</v>
      </c>
      <c r="KK13" s="322"/>
      <c r="KL13" s="323"/>
      <c r="KM13" s="322"/>
      <c r="KN13" s="338">
        <v>8</v>
      </c>
      <c r="KO13" s="322">
        <v>8</v>
      </c>
      <c r="KP13" s="437" t="str">
        <f t="shared" si="14"/>
        <v>Q4</v>
      </c>
      <c r="KQ13" s="373">
        <f t="shared" si="15"/>
        <v>1.046415478555196</v>
      </c>
      <c r="KR13" s="358">
        <f t="shared" si="41"/>
        <v>1101.8645865237693</v>
      </c>
      <c r="KS13" s="358">
        <f t="shared" si="42"/>
        <v>1153.0081586102931</v>
      </c>
      <c r="KT13" s="358">
        <f t="shared" si="16"/>
        <v>4100517</v>
      </c>
      <c r="KU13" s="358">
        <f t="shared" si="43"/>
        <v>4814455.6989664808</v>
      </c>
      <c r="KV13" s="358">
        <f t="shared" si="17"/>
        <v>1665222</v>
      </c>
      <c r="KW13" s="358">
        <f t="shared" si="18"/>
        <v>2642884.5408279262</v>
      </c>
      <c r="KX13" s="358">
        <f t="shared" si="44"/>
        <v>225000</v>
      </c>
      <c r="KY13" s="358">
        <f t="shared" si="45"/>
        <v>95518.409097540629</v>
      </c>
      <c r="KZ13" s="358">
        <f t="shared" si="46"/>
        <v>1891323.8645865237</v>
      </c>
      <c r="LA13" s="358">
        <f t="shared" si="46"/>
        <v>2739555.9580840771</v>
      </c>
      <c r="LB13" s="326"/>
      <c r="LC13" s="323"/>
      <c r="LD13" s="322"/>
      <c r="LE13" s="374">
        <f t="shared" si="71"/>
        <v>8</v>
      </c>
      <c r="LF13" s="375">
        <v>7</v>
      </c>
      <c r="LG13" s="376">
        <f t="shared" si="72"/>
        <v>1</v>
      </c>
      <c r="LH13" s="376">
        <f t="shared" si="72"/>
        <v>1.0377488354421667</v>
      </c>
      <c r="LI13" s="377">
        <v>106.45762205358784</v>
      </c>
      <c r="LJ13" s="290">
        <f t="shared" si="73"/>
        <v>603658.96531901334</v>
      </c>
      <c r="LK13" s="377">
        <v>106.45762205358784</v>
      </c>
      <c r="LL13" s="290">
        <f t="shared" si="47"/>
        <v>158674.9234665008</v>
      </c>
      <c r="LM13" s="377">
        <v>106.45762205358784</v>
      </c>
      <c r="LN13" s="290">
        <f t="shared" si="48"/>
        <v>326358.35275206564</v>
      </c>
      <c r="LO13" s="377">
        <v>118.614283549666</v>
      </c>
      <c r="LP13" s="290">
        <f t="shared" si="74"/>
        <v>547502.34391122684</v>
      </c>
      <c r="LQ13" s="377">
        <v>119.48337591187899</v>
      </c>
      <c r="LR13" s="290">
        <f t="shared" si="49"/>
        <v>160470.91210153644</v>
      </c>
      <c r="LS13" s="377">
        <v>157.07111615098</v>
      </c>
      <c r="LT13" s="290">
        <f t="shared" si="50"/>
        <v>62245.790423791848</v>
      </c>
      <c r="LU13" s="377">
        <v>112.15574935818501</v>
      </c>
      <c r="LV13" s="290">
        <f t="shared" si="51"/>
        <v>83840.944799054851</v>
      </c>
      <c r="LW13" s="377">
        <v>116.939890710382</v>
      </c>
      <c r="LX13" s="378">
        <f t="shared" si="52"/>
        <v>267660.16414326441</v>
      </c>
      <c r="LY13" s="379">
        <f t="shared" si="53"/>
        <v>2264276.6230272725</v>
      </c>
      <c r="LZ13" s="379">
        <f t="shared" si="75"/>
        <v>2210412.3969164542</v>
      </c>
      <c r="MA13" s="103"/>
      <c r="MB13" s="335"/>
      <c r="MD13" s="338">
        <v>8</v>
      </c>
      <c r="ME13" s="380">
        <v>8</v>
      </c>
      <c r="MF13" s="20">
        <f t="shared" si="19"/>
        <v>2316854.1013000002</v>
      </c>
      <c r="MG13" s="20">
        <f t="shared" si="19"/>
        <v>1891323.8645865237</v>
      </c>
      <c r="MH13" s="343">
        <f t="shared" si="20"/>
        <v>2739555.9580840771</v>
      </c>
      <c r="MI13" s="20">
        <f t="shared" si="21"/>
        <v>2416396.105403665</v>
      </c>
      <c r="MJ13" s="20">
        <f t="shared" si="21"/>
        <v>2216605.1023086514</v>
      </c>
      <c r="MK13" s="343">
        <f t="shared" si="54"/>
        <v>2319489.8889001966</v>
      </c>
      <c r="ML13" s="20">
        <f t="shared" si="55"/>
        <v>-99542.004103664774</v>
      </c>
      <c r="MM13" s="20">
        <f t="shared" si="55"/>
        <v>-325281.2377221277</v>
      </c>
      <c r="MN13" s="20">
        <f t="shared" si="55"/>
        <v>420066.06918388046</v>
      </c>
      <c r="MR13" s="338">
        <f t="shared" si="76"/>
        <v>8</v>
      </c>
      <c r="MS13" s="346" t="s">
        <v>229</v>
      </c>
      <c r="MT13" s="479">
        <f>MT12-MT9</f>
        <v>18998322.143907189</v>
      </c>
      <c r="MX13" s="283">
        <f t="shared" si="85"/>
        <v>7</v>
      </c>
      <c r="MY13" s="285" t="s">
        <v>221</v>
      </c>
      <c r="MZ13" s="17"/>
      <c r="NA13" s="381"/>
      <c r="NB13" s="97"/>
      <c r="NC13" s="18"/>
      <c r="ND13" s="381"/>
      <c r="NH13" s="283">
        <f t="shared" si="86"/>
        <v>7</v>
      </c>
      <c r="NI13" s="285" t="str">
        <f t="shared" si="58"/>
        <v>Expenses</v>
      </c>
      <c r="NJ13" s="17"/>
      <c r="NK13" s="17"/>
      <c r="NL13" s="17"/>
      <c r="NM13" s="395"/>
      <c r="NQ13" s="480"/>
      <c r="NR13" s="480"/>
      <c r="NS13" s="17"/>
      <c r="NT13" s="383"/>
    </row>
    <row r="14" spans="2:387" ht="17.25" thickBot="1" x14ac:dyDescent="0.35">
      <c r="B14" s="265">
        <f t="shared" si="79"/>
        <v>9</v>
      </c>
      <c r="C14" s="384"/>
      <c r="D14" s="97" t="s">
        <v>47</v>
      </c>
      <c r="E14" s="286"/>
      <c r="F14" s="18">
        <f>CP9</f>
        <v>37593268.407299995</v>
      </c>
      <c r="G14" s="313">
        <f t="shared" ref="G14:G22" si="108">F14/F$24*100</f>
        <v>1.8087697778034015</v>
      </c>
      <c r="H14" s="18">
        <f>CT9</f>
        <v>36384668.568564288</v>
      </c>
      <c r="I14" s="309">
        <f t="shared" ref="I14:I22" si="109">H14/H$24*100</f>
        <v>1.7464127227111574</v>
      </c>
      <c r="J14" s="290">
        <f t="shared" si="59"/>
        <v>-1208599.8387357071</v>
      </c>
      <c r="K14" s="18">
        <f>JF26</f>
        <v>36992330.313946411</v>
      </c>
      <c r="L14" s="309">
        <f t="shared" ref="L14:L22" si="110">K14/K$24*100</f>
        <v>1.7511201271780921</v>
      </c>
      <c r="M14" s="290">
        <f t="shared" si="60"/>
        <v>607661.7453821227</v>
      </c>
      <c r="N14" s="18">
        <f>LJ27</f>
        <v>33880818.159826785</v>
      </c>
      <c r="O14" s="309">
        <f t="shared" ref="O14:O22" si="111">N14/N$24*100</f>
        <v>1.5454888777053184</v>
      </c>
      <c r="P14" s="290">
        <f t="shared" si="61"/>
        <v>-3111512.1541196257</v>
      </c>
      <c r="Q14" s="18">
        <f t="shared" si="62"/>
        <v>-3712450.2474732101</v>
      </c>
      <c r="R14" s="310">
        <f t="shared" si="63"/>
        <v>-0.14555799379720702</v>
      </c>
      <c r="V14" s="249">
        <f>V12+1</f>
        <v>6</v>
      </c>
      <c r="W14" s="345" t="s">
        <v>176</v>
      </c>
      <c r="X14" s="20">
        <f>SUMPRODUCT($MM$6:$MM$25,IE6:IE25)</f>
        <v>-1972230.5140231708</v>
      </c>
      <c r="Y14" s="20">
        <f>SUMPRODUCT($MM$6:$MM$25,IF6:IF25)</f>
        <v>1003817.910765946</v>
      </c>
      <c r="Z14" s="20">
        <f>SUMPRODUCT($MM$6:$MM$25,IG6:IG25)</f>
        <v>3951110.9603480091</v>
      </c>
      <c r="AA14" s="20">
        <f>SUM(X14:Z14)</f>
        <v>2982698.3570907842</v>
      </c>
      <c r="AB14" s="20"/>
      <c r="AF14" s="385">
        <f t="shared" si="80"/>
        <v>8</v>
      </c>
      <c r="AG14" s="282" t="s">
        <v>27</v>
      </c>
      <c r="AH14" s="97"/>
      <c r="AI14" s="97"/>
      <c r="AJ14" s="97"/>
      <c r="AL14" s="464"/>
      <c r="AN14" s="283">
        <v>9</v>
      </c>
      <c r="AO14" s="390"/>
      <c r="AP14" s="97"/>
      <c r="AQ14" s="97" t="s">
        <v>230</v>
      </c>
      <c r="AR14" s="286"/>
      <c r="AS14" s="392">
        <v>936011.74</v>
      </c>
      <c r="AT14" s="393">
        <v>9.1275439563570718E-2</v>
      </c>
      <c r="AU14" s="394"/>
      <c r="AV14" s="392">
        <v>1523068.1600000001</v>
      </c>
      <c r="AW14" s="393">
        <v>0.14113218958319465</v>
      </c>
      <c r="AX14" s="383">
        <f t="shared" si="96"/>
        <v>0.54622306129679221</v>
      </c>
      <c r="AY14" s="394"/>
      <c r="AZ14" s="392">
        <v>2211207.06</v>
      </c>
      <c r="BA14" s="393">
        <v>0.17139322328365042</v>
      </c>
      <c r="BB14" s="383">
        <f t="shared" si="97"/>
        <v>0.2144162418922686</v>
      </c>
      <c r="BC14" s="394"/>
      <c r="BD14" s="392">
        <v>2871478.9273906099</v>
      </c>
      <c r="BE14" s="393">
        <v>0.19525756518837487</v>
      </c>
      <c r="BF14" s="383">
        <f t="shared" si="98"/>
        <v>0.13923737151048088</v>
      </c>
      <c r="BG14" s="394"/>
      <c r="BH14" s="392">
        <v>3068616.0090000001</v>
      </c>
      <c r="BI14" s="393">
        <v>0.20193027022305846</v>
      </c>
      <c r="BJ14" s="383">
        <f t="shared" si="99"/>
        <v>3.4173861731022326E-2</v>
      </c>
      <c r="BK14" s="394"/>
      <c r="BL14" s="392">
        <v>3403828.76</v>
      </c>
      <c r="BM14" s="393">
        <v>0.20235219545286309</v>
      </c>
      <c r="BN14" s="383">
        <f t="shared" si="100"/>
        <v>2.0894600365688465E-3</v>
      </c>
      <c r="BO14" s="394"/>
      <c r="BP14" s="392">
        <v>4538272.1100000003</v>
      </c>
      <c r="BQ14" s="393">
        <v>0.24467837835281422</v>
      </c>
      <c r="BR14" s="383">
        <f t="shared" si="101"/>
        <v>0.20917086076197666</v>
      </c>
      <c r="BS14" s="394"/>
      <c r="BT14" s="97">
        <v>5378012</v>
      </c>
      <c r="BU14" s="97">
        <v>0.27</v>
      </c>
      <c r="BV14" s="97">
        <f t="shared" si="102"/>
        <v>0.10348941258174138</v>
      </c>
      <c r="BW14" s="18">
        <v>1768561.8457999995</v>
      </c>
      <c r="BX14" s="19">
        <v>9.1364858283556505E-2</v>
      </c>
      <c r="BY14" s="19">
        <f t="shared" si="65"/>
        <v>-0.66161163598682782</v>
      </c>
      <c r="BZ14" s="19">
        <v>1718931.8145400002</v>
      </c>
      <c r="CA14" s="19">
        <v>8.4265613047061122E-2</v>
      </c>
      <c r="CB14" s="19">
        <f t="shared" si="66"/>
        <v>-7.7702142485269743E-2</v>
      </c>
      <c r="CC14" s="18">
        <f t="shared" si="103"/>
        <v>2147244.1196499998</v>
      </c>
      <c r="CD14" s="19">
        <f t="shared" si="103"/>
        <v>0.10331291834244472</v>
      </c>
      <c r="CE14" s="395">
        <f t="shared" si="104"/>
        <v>0.22603888593020671</v>
      </c>
      <c r="CF14" s="396">
        <f t="shared" si="68"/>
        <v>1.2940354569163843</v>
      </c>
      <c r="CG14" s="395">
        <f t="shared" si="105"/>
        <v>4.7208938117930366E-2</v>
      </c>
      <c r="DA14" s="518"/>
      <c r="DW14" s="96"/>
      <c r="DX14" s="96"/>
      <c r="DY14" s="96"/>
      <c r="DZ14" s="96"/>
      <c r="EN14" s="103"/>
      <c r="EO14" s="408"/>
      <c r="FD14" s="103"/>
      <c r="FE14" s="408"/>
      <c r="FG14" s="283">
        <f t="shared" si="84"/>
        <v>9</v>
      </c>
      <c r="FH14" s="406"/>
      <c r="FI14" s="407" t="s">
        <v>231</v>
      </c>
      <c r="FJ14" s="17">
        <v>305</v>
      </c>
      <c r="FK14" s="17">
        <v>8147.64</v>
      </c>
      <c r="FL14" s="17">
        <v>47697.71</v>
      </c>
      <c r="FM14" s="290">
        <f t="shared" si="28"/>
        <v>56150.35</v>
      </c>
      <c r="FN14" s="17">
        <v>305</v>
      </c>
      <c r="FO14" s="17">
        <v>8147.64</v>
      </c>
      <c r="FP14" s="17">
        <v>47697.71</v>
      </c>
      <c r="FQ14" s="17">
        <v>56150.35</v>
      </c>
      <c r="FR14" s="17">
        <v>56150.35</v>
      </c>
      <c r="FS14" s="103"/>
      <c r="FT14" s="408"/>
      <c r="FV14" s="467">
        <v>9</v>
      </c>
      <c r="FW14" s="471" t="s">
        <v>89</v>
      </c>
      <c r="FX14" s="469">
        <f t="shared" ref="FX14:GE14" si="112">SUM(FX6:FX13)</f>
        <v>246822.49</v>
      </c>
      <c r="FY14" s="469">
        <f t="shared" si="112"/>
        <v>506083.3639</v>
      </c>
      <c r="FZ14" s="469">
        <f t="shared" si="112"/>
        <v>1023549.4600000001</v>
      </c>
      <c r="GA14" s="470">
        <f t="shared" si="112"/>
        <v>1776455.3139000002</v>
      </c>
      <c r="GB14" s="469">
        <f t="shared" si="112"/>
        <v>0</v>
      </c>
      <c r="GC14" s="469">
        <f t="shared" si="112"/>
        <v>0</v>
      </c>
      <c r="GD14" s="469">
        <f t="shared" si="112"/>
        <v>0</v>
      </c>
      <c r="GE14" s="470">
        <f t="shared" si="112"/>
        <v>0</v>
      </c>
      <c r="GG14" s="408"/>
      <c r="GT14" s="408"/>
      <c r="GV14" s="467">
        <v>9</v>
      </c>
      <c r="GW14" s="471" t="s">
        <v>89</v>
      </c>
      <c r="GX14" s="469">
        <f>SUM(GX6:GX13)</f>
        <v>338710.07999999996</v>
      </c>
      <c r="GY14" s="469">
        <f t="shared" ref="GY14:GZ14" si="113">SUM(GY6:GY13)</f>
        <v>639089.70390000008</v>
      </c>
      <c r="GZ14" s="469">
        <f t="shared" si="113"/>
        <v>1457690.61</v>
      </c>
      <c r="HA14" s="470">
        <f>SUM(HA6:HA13)</f>
        <v>2435490.3939</v>
      </c>
      <c r="HB14" s="469">
        <f>SUM(HB6:HB13)</f>
        <v>11038</v>
      </c>
      <c r="HC14" s="469">
        <f t="shared" ref="HC14:HD14" si="114">SUM(HC6:HC13)</f>
        <v>21162.850000000006</v>
      </c>
      <c r="HD14" s="469">
        <f t="shared" si="114"/>
        <v>183737.05000000002</v>
      </c>
      <c r="HE14" s="470">
        <f>SUM(HE6:HE13)</f>
        <v>215937.90000000002</v>
      </c>
      <c r="HF14" s="475"/>
      <c r="HG14" s="408"/>
      <c r="HT14" s="443"/>
      <c r="HW14" s="283">
        <v>9</v>
      </c>
      <c r="HX14" s="306">
        <v>9</v>
      </c>
      <c r="HY14" s="306">
        <v>10</v>
      </c>
      <c r="HZ14" s="306">
        <v>9</v>
      </c>
      <c r="IA14" s="307">
        <v>50085735</v>
      </c>
      <c r="IB14" s="307">
        <v>44598622</v>
      </c>
      <c r="IC14" s="309">
        <f t="shared" si="5"/>
        <v>0.9</v>
      </c>
      <c r="ID14" s="309">
        <f t="shared" si="6"/>
        <v>0.89044559294178272</v>
      </c>
      <c r="IE14" s="310">
        <v>1</v>
      </c>
      <c r="IF14" s="310">
        <v>0</v>
      </c>
      <c r="IG14" s="310">
        <v>0</v>
      </c>
      <c r="IK14" s="410">
        <v>9</v>
      </c>
      <c r="IL14" s="317">
        <v>9</v>
      </c>
      <c r="IM14" s="313">
        <f t="shared" si="7"/>
        <v>0.89044559294178272</v>
      </c>
      <c r="IN14" s="17">
        <v>2159</v>
      </c>
      <c r="IO14" s="290">
        <f t="shared" si="29"/>
        <v>1922.4720351613089</v>
      </c>
      <c r="IP14" s="17">
        <v>5473056</v>
      </c>
      <c r="IQ14" s="290">
        <v>4857219</v>
      </c>
      <c r="IR14" s="17">
        <v>2271628.8179000001</v>
      </c>
      <c r="IS14" s="290">
        <v>1988526</v>
      </c>
      <c r="IT14" s="17">
        <v>225000</v>
      </c>
      <c r="IU14" s="17">
        <v>202500</v>
      </c>
      <c r="IV14" s="17">
        <f t="shared" si="30"/>
        <v>2498787.8179000001</v>
      </c>
      <c r="IW14" s="17">
        <f t="shared" si="30"/>
        <v>2192948.4720351612</v>
      </c>
      <c r="IX14" s="314"/>
      <c r="IY14" s="315"/>
      <c r="IZ14" s="314"/>
      <c r="JA14" s="316">
        <v>9</v>
      </c>
      <c r="JB14" s="317">
        <v>9</v>
      </c>
      <c r="JC14" s="318">
        <f t="shared" si="8"/>
        <v>0.9</v>
      </c>
      <c r="JD14" s="319">
        <f t="shared" si="8"/>
        <v>0.89044559294178272</v>
      </c>
      <c r="JE14" s="17">
        <v>661661.50272715127</v>
      </c>
      <c r="JF14" s="290">
        <f t="shared" si="70"/>
        <v>589173.56912262924</v>
      </c>
      <c r="JG14" s="17">
        <v>71999.531000000003</v>
      </c>
      <c r="JH14" s="290">
        <f t="shared" si="31"/>
        <v>64111.665072825272</v>
      </c>
      <c r="JI14" s="17">
        <v>537177.27627284871</v>
      </c>
      <c r="JJ14" s="290">
        <f t="shared" si="32"/>
        <v>483459.54864556383</v>
      </c>
      <c r="JK14" s="17">
        <v>562035.46705548721</v>
      </c>
      <c r="JL14" s="290">
        <v>509053.48675124033</v>
      </c>
      <c r="JM14" s="17">
        <v>75881.84</v>
      </c>
      <c r="JN14" s="290">
        <f t="shared" si="33"/>
        <v>67568.650012313476</v>
      </c>
      <c r="JO14" s="17">
        <v>76271.200000000012</v>
      </c>
      <c r="JP14" s="290">
        <f t="shared" si="34"/>
        <v>67915.353908381308</v>
      </c>
      <c r="JQ14" s="17">
        <v>98619.73000000001</v>
      </c>
      <c r="JR14" s="290">
        <f t="shared" si="35"/>
        <v>87815.503955608525</v>
      </c>
      <c r="JS14" s="17">
        <v>286453.18775000004</v>
      </c>
      <c r="JT14" s="290">
        <f t="shared" si="36"/>
        <v>255070.97861611258</v>
      </c>
      <c r="JU14" s="17">
        <f t="shared" si="37"/>
        <v>2370099.7348054876</v>
      </c>
      <c r="JV14" s="17">
        <f t="shared" si="37"/>
        <v>2124168.7560846745</v>
      </c>
      <c r="JW14" s="320">
        <f t="shared" si="9"/>
        <v>4.762857372778635</v>
      </c>
      <c r="KA14" s="283">
        <v>9</v>
      </c>
      <c r="KB14" s="306">
        <v>9</v>
      </c>
      <c r="KC14" s="97">
        <f t="shared" si="10"/>
        <v>9</v>
      </c>
      <c r="KD14" s="97">
        <f t="shared" si="11"/>
        <v>9</v>
      </c>
      <c r="KE14" s="289">
        <f t="shared" si="12"/>
        <v>44598622</v>
      </c>
      <c r="KF14" s="289">
        <f t="shared" si="13"/>
        <v>46282168.042825393</v>
      </c>
      <c r="KG14" s="321">
        <f t="shared" si="38"/>
        <v>1</v>
      </c>
      <c r="KH14" s="321">
        <f t="shared" si="39"/>
        <v>1.0377488354421667</v>
      </c>
      <c r="KI14" s="321">
        <f t="shared" si="40"/>
        <v>0.94258193649918232</v>
      </c>
      <c r="KJ14" s="306" t="s">
        <v>441</v>
      </c>
      <c r="KK14" s="322"/>
      <c r="KL14" s="323"/>
      <c r="KM14" s="322"/>
      <c r="KN14" s="283">
        <v>9</v>
      </c>
      <c r="KO14" s="306">
        <v>9</v>
      </c>
      <c r="KP14" s="324" t="str">
        <f t="shared" si="14"/>
        <v>Q2</v>
      </c>
      <c r="KQ14" s="325">
        <f t="shared" si="15"/>
        <v>0.94258193649918232</v>
      </c>
      <c r="KR14" s="17">
        <f t="shared" si="41"/>
        <v>1922.4720351613089</v>
      </c>
      <c r="KS14" s="17">
        <f t="shared" si="42"/>
        <v>1812.0874137678707</v>
      </c>
      <c r="KT14" s="17">
        <f t="shared" si="16"/>
        <v>4857219</v>
      </c>
      <c r="KU14" s="17">
        <f t="shared" si="43"/>
        <v>5064014.5255386764</v>
      </c>
      <c r="KV14" s="17">
        <f t="shared" si="17"/>
        <v>1988526</v>
      </c>
      <c r="KW14" s="17">
        <f t="shared" si="18"/>
        <v>2779879.2928860663</v>
      </c>
      <c r="KX14" s="17">
        <f t="shared" si="44"/>
        <v>202500</v>
      </c>
      <c r="KY14" s="17">
        <f t="shared" si="45"/>
        <v>100469.63589884702</v>
      </c>
      <c r="KZ14" s="17">
        <f t="shared" si="46"/>
        <v>2192948.4720351612</v>
      </c>
      <c r="LA14" s="17">
        <f t="shared" si="46"/>
        <v>2882161.0161986812</v>
      </c>
      <c r="LB14" s="326"/>
      <c r="LC14" s="323"/>
      <c r="LD14" s="322"/>
      <c r="LE14" s="364">
        <f t="shared" si="71"/>
        <v>9</v>
      </c>
      <c r="LF14" s="365">
        <v>8</v>
      </c>
      <c r="LG14" s="411">
        <f t="shared" si="72"/>
        <v>1</v>
      </c>
      <c r="LH14" s="411">
        <f t="shared" si="72"/>
        <v>1.0377488354421667</v>
      </c>
      <c r="LI14" s="412">
        <v>92.086954396969617</v>
      </c>
      <c r="LJ14" s="343">
        <f t="shared" si="73"/>
        <v>734802.03670921864</v>
      </c>
      <c r="LK14" s="412">
        <v>92.086954396969617</v>
      </c>
      <c r="LL14" s="343">
        <f t="shared" si="47"/>
        <v>84741.758821398922</v>
      </c>
      <c r="LM14" s="412">
        <v>92.086954396969617</v>
      </c>
      <c r="LN14" s="343">
        <f t="shared" si="48"/>
        <v>444199.10595647164</v>
      </c>
      <c r="LO14" s="412">
        <v>119.50379714140099</v>
      </c>
      <c r="LP14" s="343">
        <f t="shared" si="74"/>
        <v>615583.30830531428</v>
      </c>
      <c r="LQ14" s="412">
        <v>120.433043671646</v>
      </c>
      <c r="LR14" s="343">
        <f t="shared" si="49"/>
        <v>43063.217918952869</v>
      </c>
      <c r="LS14" s="412">
        <v>146.40099357416699</v>
      </c>
      <c r="LT14" s="343">
        <f t="shared" si="50"/>
        <v>61074.146734226524</v>
      </c>
      <c r="LU14" s="412">
        <v>116.183248398364</v>
      </c>
      <c r="LV14" s="343">
        <f t="shared" si="51"/>
        <v>51717.437876199263</v>
      </c>
      <c r="LW14" s="412">
        <v>117.5956284153</v>
      </c>
      <c r="LX14" s="343">
        <f t="shared" si="52"/>
        <v>284308.87657841423</v>
      </c>
      <c r="LY14" s="20">
        <f t="shared" si="53"/>
        <v>2216605.1023086514</v>
      </c>
      <c r="LZ14" s="20">
        <f t="shared" si="75"/>
        <v>2319489.8889001966</v>
      </c>
      <c r="MA14" s="103"/>
      <c r="MB14" s="335"/>
      <c r="MD14" s="283">
        <v>9</v>
      </c>
      <c r="ME14" s="336">
        <v>9</v>
      </c>
      <c r="MF14" s="17">
        <f t="shared" si="19"/>
        <v>2498787.8179000001</v>
      </c>
      <c r="MG14" s="17">
        <f t="shared" si="19"/>
        <v>2192948.4720351612</v>
      </c>
      <c r="MH14" s="290">
        <f t="shared" si="20"/>
        <v>2882161.0161986812</v>
      </c>
      <c r="MI14" s="17">
        <f t="shared" si="21"/>
        <v>2370099.7348054876</v>
      </c>
      <c r="MJ14" s="17">
        <f t="shared" si="21"/>
        <v>2124168.7560846745</v>
      </c>
      <c r="MK14" s="290">
        <f t="shared" si="54"/>
        <v>2002203.0995613518</v>
      </c>
      <c r="ML14" s="17">
        <f t="shared" si="55"/>
        <v>128688.08309451258</v>
      </c>
      <c r="MM14" s="17">
        <f t="shared" si="55"/>
        <v>68779.715950486716</v>
      </c>
      <c r="MN14" s="17">
        <f t="shared" si="55"/>
        <v>879957.91663732938</v>
      </c>
      <c r="MR14" s="475"/>
      <c r="MX14" s="338">
        <f t="shared" si="85"/>
        <v>8</v>
      </c>
      <c r="MY14" s="346" t="s">
        <v>47</v>
      </c>
      <c r="MZ14" s="20">
        <f t="shared" ref="MZ14:MZ21" si="115">N14</f>
        <v>33880818.159826785</v>
      </c>
      <c r="NA14" s="414">
        <f t="shared" ref="NA14:NA21" si="116">MZ14/$MZ$34*100</f>
        <v>1.5454888777053184</v>
      </c>
      <c r="NC14" s="15">
        <f t="shared" ref="NC14:NC20" si="117">MZ14</f>
        <v>33880818.159826785</v>
      </c>
      <c r="ND14" s="414">
        <f t="shared" ref="ND14:ND21" si="118">NC14/$ND$34*100</f>
        <v>1.5454888777053184</v>
      </c>
      <c r="NH14" s="338">
        <f t="shared" si="86"/>
        <v>8</v>
      </c>
      <c r="NI14" s="346" t="str">
        <f t="shared" si="58"/>
        <v>Direct Labour</v>
      </c>
      <c r="NJ14" s="20">
        <v>49085970.937008202</v>
      </c>
      <c r="NK14" s="20">
        <f t="shared" ref="NK14:NK21" si="119">MZ14</f>
        <v>33880818.159826785</v>
      </c>
      <c r="NL14" s="20">
        <f t="shared" si="77"/>
        <v>-15205152.777181417</v>
      </c>
      <c r="NM14" s="351">
        <f t="shared" si="78"/>
        <v>-0.30976575357334007</v>
      </c>
    </row>
    <row r="15" spans="2:387" x14ac:dyDescent="0.3">
      <c r="B15" s="226">
        <f t="shared" si="79"/>
        <v>10</v>
      </c>
      <c r="C15" s="339"/>
      <c r="D15" s="518" t="s">
        <v>48</v>
      </c>
      <c r="E15" s="340"/>
      <c r="F15" s="15">
        <f>DA9</f>
        <v>2147244.1196499998</v>
      </c>
      <c r="G15" s="341">
        <f t="shared" si="108"/>
        <v>0.10331291834244472</v>
      </c>
      <c r="H15" s="15">
        <f>DD9</f>
        <v>2147299.9196500001</v>
      </c>
      <c r="I15" s="342">
        <f t="shared" si="109"/>
        <v>0.103067364543576</v>
      </c>
      <c r="J15" s="343">
        <f t="shared" si="59"/>
        <v>55.800000000279397</v>
      </c>
      <c r="K15" s="15">
        <f>JH26</f>
        <v>2193064.0614437284</v>
      </c>
      <c r="L15" s="342">
        <f t="shared" si="110"/>
        <v>0.10381391454912514</v>
      </c>
      <c r="M15" s="343">
        <f t="shared" si="60"/>
        <v>45764.14179372834</v>
      </c>
      <c r="N15" s="15">
        <f>LL27</f>
        <v>2029437.6824085335</v>
      </c>
      <c r="O15" s="342">
        <f t="shared" si="111"/>
        <v>9.2573719777447133E-2</v>
      </c>
      <c r="P15" s="343">
        <f t="shared" si="61"/>
        <v>-163626.37903519487</v>
      </c>
      <c r="Q15" s="15">
        <f t="shared" si="62"/>
        <v>-117806.43724146625</v>
      </c>
      <c r="R15" s="344">
        <f t="shared" si="63"/>
        <v>-0.10394826452778194</v>
      </c>
      <c r="V15" s="385">
        <f t="shared" si="64"/>
        <v>7</v>
      </c>
      <c r="W15" s="386" t="s">
        <v>185</v>
      </c>
      <c r="X15" s="309">
        <f>X14/K$24*100</f>
        <v>-9.3360232221940578E-2</v>
      </c>
      <c r="Y15" s="309">
        <f>Y14/K$24*100</f>
        <v>4.7518113420970481E-2</v>
      </c>
      <c r="Z15" s="309">
        <f>Z14/K$24*100</f>
        <v>0.18703525483959274</v>
      </c>
      <c r="AA15" s="309">
        <f>AA14/K$24*100</f>
        <v>0.14119313603862266</v>
      </c>
      <c r="AB15" s="342"/>
      <c r="AC15" s="348"/>
      <c r="AF15" s="249">
        <f t="shared" si="80"/>
        <v>9</v>
      </c>
      <c r="AG15" s="346" t="s">
        <v>78</v>
      </c>
      <c r="AH15" s="105">
        <f>AH11*JF27</f>
        <v>1801167.6941681006</v>
      </c>
      <c r="AI15" s="105">
        <f>AI11*JH27</f>
        <v>113098.61174829236</v>
      </c>
      <c r="AJ15" s="105">
        <f>AJ11*JJ27</f>
        <v>547397.97344627196</v>
      </c>
      <c r="AL15" s="464"/>
      <c r="AN15" s="338">
        <v>10</v>
      </c>
      <c r="AO15" s="96"/>
      <c r="AQ15" s="518" t="s">
        <v>49</v>
      </c>
      <c r="AR15" s="340"/>
      <c r="AS15" s="348">
        <v>7353821.8799999999</v>
      </c>
      <c r="AT15" s="349">
        <v>0.71710994198556099</v>
      </c>
      <c r="AU15" s="350"/>
      <c r="AV15" s="348">
        <v>7828448.5450000018</v>
      </c>
      <c r="AW15" s="349">
        <v>0.72540816833517452</v>
      </c>
      <c r="AX15" s="351">
        <f t="shared" si="96"/>
        <v>1.1571763078109143E-2</v>
      </c>
      <c r="AY15" s="350"/>
      <c r="AZ15" s="348">
        <v>8035314.9274999993</v>
      </c>
      <c r="BA15" s="349">
        <v>0.62282657759036675</v>
      </c>
      <c r="BB15" s="351">
        <f t="shared" si="97"/>
        <v>-0.14141223551457172</v>
      </c>
      <c r="BC15" s="350"/>
      <c r="BD15" s="348">
        <v>8562729.5753158554</v>
      </c>
      <c r="BE15" s="349">
        <v>0.58225665955417472</v>
      </c>
      <c r="BF15" s="351">
        <f t="shared" si="98"/>
        <v>-6.5138386022561279E-2</v>
      </c>
      <c r="BG15" s="350"/>
      <c r="BH15" s="348">
        <v>11045828.998199999</v>
      </c>
      <c r="BI15" s="349">
        <v>0.72687075473189988</v>
      </c>
      <c r="BJ15" s="351">
        <f t="shared" si="99"/>
        <v>0.24836829739045663</v>
      </c>
      <c r="BK15" s="350"/>
      <c r="BL15" s="348">
        <v>11568330.944249999</v>
      </c>
      <c r="BM15" s="349">
        <v>0.68771883938552769</v>
      </c>
      <c r="BN15" s="351">
        <f t="shared" si="100"/>
        <v>-5.3863654702703045E-2</v>
      </c>
      <c r="BO15" s="350"/>
      <c r="BP15" s="348">
        <v>12592679.530000001</v>
      </c>
      <c r="BQ15" s="349">
        <v>0.67892720661852923</v>
      </c>
      <c r="BR15" s="351">
        <f t="shared" si="101"/>
        <v>-1.2783760257104038E-2</v>
      </c>
      <c r="BS15" s="350"/>
      <c r="BT15" s="518">
        <v>14006160</v>
      </c>
      <c r="BU15" s="518">
        <v>0.71</v>
      </c>
      <c r="BV15" s="518">
        <f t="shared" si="102"/>
        <v>4.5767488883281304E-2</v>
      </c>
      <c r="BW15" s="15">
        <v>14529003.2212</v>
      </c>
      <c r="BX15" s="16">
        <v>0.75057613815354784</v>
      </c>
      <c r="BY15" s="16">
        <f t="shared" si="65"/>
        <v>5.71494903571097E-2</v>
      </c>
      <c r="BZ15" s="16">
        <v>16169362.853399999</v>
      </c>
      <c r="CA15" s="16">
        <v>0.79265580047847906</v>
      </c>
      <c r="CB15" s="16">
        <f t="shared" si="66"/>
        <v>5.6063149607245899E-2</v>
      </c>
      <c r="CC15" s="15">
        <f t="shared" si="103"/>
        <v>15891148.762049999</v>
      </c>
      <c r="CD15" s="16">
        <f t="shared" si="103"/>
        <v>0.76458980113025965</v>
      </c>
      <c r="CE15" s="352">
        <f t="shared" si="104"/>
        <v>-3.5407549318730358E-2</v>
      </c>
      <c r="CF15" s="353">
        <f t="shared" si="68"/>
        <v>1.1609374038918112</v>
      </c>
      <c r="CG15" s="352">
        <f t="shared" si="105"/>
        <v>4.3737368471468585E-2</v>
      </c>
      <c r="DA15" s="518"/>
      <c r="DK15" s="518"/>
      <c r="DQ15" s="537"/>
      <c r="DR15" s="537"/>
      <c r="DS15" s="537"/>
      <c r="DT15" s="537"/>
      <c r="DU15" s="537"/>
      <c r="DV15" s="537"/>
      <c r="DW15" s="537"/>
      <c r="DX15" s="537"/>
      <c r="DY15" s="537"/>
      <c r="DZ15" s="537"/>
      <c r="EN15" s="105"/>
      <c r="EO15" s="408"/>
      <c r="FD15" s="105"/>
      <c r="FE15" s="408"/>
      <c r="FG15" s="338">
        <f t="shared" si="84"/>
        <v>10</v>
      </c>
      <c r="FH15" s="360"/>
      <c r="FI15" s="361" t="s">
        <v>232</v>
      </c>
      <c r="FJ15" s="20">
        <v>31426.501999999997</v>
      </c>
      <c r="FK15" s="20">
        <v>84299.290000000008</v>
      </c>
      <c r="FL15" s="20">
        <v>302468.21000000002</v>
      </c>
      <c r="FM15" s="343">
        <f t="shared" si="28"/>
        <v>418194.00199999998</v>
      </c>
      <c r="FN15" s="20">
        <v>31693.168666666661</v>
      </c>
      <c r="FO15" s="20">
        <v>84736.09</v>
      </c>
      <c r="FP15" s="20">
        <v>302468.21000000002</v>
      </c>
      <c r="FQ15" s="20">
        <v>418897.46866666671</v>
      </c>
      <c r="FR15" s="20">
        <v>418897.46866666671</v>
      </c>
      <c r="FS15" s="103"/>
      <c r="FT15" s="408"/>
      <c r="GI15" s="481"/>
      <c r="GJ15" s="279"/>
      <c r="GK15" s="279"/>
      <c r="GL15" s="279"/>
      <c r="GM15" s="279"/>
      <c r="GN15" s="279"/>
      <c r="GO15" s="279"/>
      <c r="GP15" s="279"/>
      <c r="GQ15" s="279"/>
      <c r="GR15" s="279"/>
      <c r="HW15" s="338">
        <v>10</v>
      </c>
      <c r="HX15" s="322">
        <v>10</v>
      </c>
      <c r="HY15" s="322">
        <v>10</v>
      </c>
      <c r="HZ15" s="322">
        <v>12</v>
      </c>
      <c r="IA15" s="347">
        <v>66094200.81818182</v>
      </c>
      <c r="IB15" s="347">
        <v>78681161</v>
      </c>
      <c r="IC15" s="342">
        <f t="shared" si="5"/>
        <v>1.2</v>
      </c>
      <c r="ID15" s="342">
        <f t="shared" si="6"/>
        <v>1.1904397061467402</v>
      </c>
      <c r="IE15" s="344">
        <v>0.58333333333333337</v>
      </c>
      <c r="IF15" s="344">
        <v>0.41666666666666669</v>
      </c>
      <c r="IG15" s="344">
        <v>0</v>
      </c>
      <c r="IK15" s="364">
        <v>10</v>
      </c>
      <c r="IL15" s="365">
        <v>10</v>
      </c>
      <c r="IM15" s="341">
        <f t="shared" si="7"/>
        <v>1.1904397061467402</v>
      </c>
      <c r="IN15" s="20">
        <v>185.75</v>
      </c>
      <c r="IO15" s="343">
        <f t="shared" si="29"/>
        <v>221.124175416757</v>
      </c>
      <c r="IP15" s="20">
        <v>7200809.3636363633</v>
      </c>
      <c r="IQ15" s="343">
        <v>8577715</v>
      </c>
      <c r="IR15" s="20">
        <v>2984607.290836364</v>
      </c>
      <c r="IS15" s="343">
        <v>3513562</v>
      </c>
      <c r="IT15" s="20">
        <v>225000</v>
      </c>
      <c r="IU15" s="20">
        <v>270000</v>
      </c>
      <c r="IV15" s="20">
        <f t="shared" si="30"/>
        <v>3209793.040836364</v>
      </c>
      <c r="IW15" s="20">
        <f t="shared" si="30"/>
        <v>3783783.1241754168</v>
      </c>
      <c r="IX15" s="314"/>
      <c r="IY15" s="315"/>
      <c r="IZ15" s="314"/>
      <c r="JA15" s="366">
        <v>10</v>
      </c>
      <c r="JB15" s="365">
        <v>10</v>
      </c>
      <c r="JC15" s="367">
        <f t="shared" si="8"/>
        <v>1.2</v>
      </c>
      <c r="JD15" s="368">
        <f t="shared" si="8"/>
        <v>1.1904397061467402</v>
      </c>
      <c r="JE15" s="20">
        <v>1073020.2636695188</v>
      </c>
      <c r="JF15" s="343">
        <f t="shared" si="70"/>
        <v>1277365.9273722395</v>
      </c>
      <c r="JG15" s="20">
        <v>89875.028000000006</v>
      </c>
      <c r="JH15" s="343">
        <f t="shared" si="31"/>
        <v>106990.80192225006</v>
      </c>
      <c r="JI15" s="20">
        <v>572414.47014866315</v>
      </c>
      <c r="JJ15" s="343">
        <f t="shared" si="32"/>
        <v>686897.36417839571</v>
      </c>
      <c r="JK15" s="20">
        <v>662231.94988330337</v>
      </c>
      <c r="JL15" s="343">
        <v>791101.506315395</v>
      </c>
      <c r="JM15" s="20">
        <v>116059.51709090911</v>
      </c>
      <c r="JN15" s="343">
        <f t="shared" si="33"/>
        <v>138161.85742123442</v>
      </c>
      <c r="JO15" s="20">
        <v>46136.540909090909</v>
      </c>
      <c r="JP15" s="343">
        <f t="shared" si="34"/>
        <v>54922.770202445237</v>
      </c>
      <c r="JQ15" s="20">
        <v>82525.475909090906</v>
      </c>
      <c r="JR15" s="343">
        <f t="shared" si="35"/>
        <v>98241.603290838073</v>
      </c>
      <c r="JS15" s="20">
        <v>322787.53398636356</v>
      </c>
      <c r="JT15" s="343">
        <f t="shared" si="36"/>
        <v>384259.09710655757</v>
      </c>
      <c r="JU15" s="20">
        <f t="shared" si="37"/>
        <v>2965050.7795969401</v>
      </c>
      <c r="JV15" s="20">
        <f t="shared" si="37"/>
        <v>3537940.9278093553</v>
      </c>
      <c r="JW15" s="369">
        <f t="shared" si="9"/>
        <v>4.4965540452680353</v>
      </c>
      <c r="KA15" s="338">
        <v>10</v>
      </c>
      <c r="KB15" s="322">
        <v>10</v>
      </c>
      <c r="KC15" s="518">
        <f t="shared" si="10"/>
        <v>12</v>
      </c>
      <c r="KD15" s="518">
        <f t="shared" si="11"/>
        <v>12</v>
      </c>
      <c r="KE15" s="370">
        <f t="shared" si="12"/>
        <v>78681161</v>
      </c>
      <c r="KF15" s="370">
        <f t="shared" si="13"/>
        <v>81651283.198987618</v>
      </c>
      <c r="KG15" s="371">
        <f t="shared" si="38"/>
        <v>1</v>
      </c>
      <c r="KH15" s="371">
        <f t="shared" si="39"/>
        <v>1.0377488354421667</v>
      </c>
      <c r="KI15" s="371">
        <f t="shared" si="40"/>
        <v>0.9681769508817718</v>
      </c>
      <c r="KJ15" s="322" t="s">
        <v>256</v>
      </c>
      <c r="KK15" s="322"/>
      <c r="KL15" s="323"/>
      <c r="KM15" s="322"/>
      <c r="KN15" s="338">
        <v>10</v>
      </c>
      <c r="KO15" s="322">
        <v>10</v>
      </c>
      <c r="KP15" s="437" t="str">
        <f t="shared" si="14"/>
        <v>Q3</v>
      </c>
      <c r="KQ15" s="373">
        <f t="shared" si="15"/>
        <v>0.9681769508817718</v>
      </c>
      <c r="KR15" s="358">
        <f t="shared" si="41"/>
        <v>221.124175416757</v>
      </c>
      <c r="KS15" s="358">
        <f t="shared" si="42"/>
        <v>214.08732992124183</v>
      </c>
      <c r="KT15" s="358">
        <f t="shared" si="16"/>
        <v>8577715</v>
      </c>
      <c r="KU15" s="358">
        <f t="shared" si="43"/>
        <v>8933965.3182613403</v>
      </c>
      <c r="KV15" s="358">
        <f t="shared" si="17"/>
        <v>3513562</v>
      </c>
      <c r="KW15" s="358">
        <f t="shared" si="18"/>
        <v>4904280.0067709424</v>
      </c>
      <c r="KX15" s="358">
        <f t="shared" si="44"/>
        <v>270000</v>
      </c>
      <c r="KY15" s="358">
        <f t="shared" si="45"/>
        <v>177249.14455358198</v>
      </c>
      <c r="KZ15" s="358">
        <f t="shared" si="46"/>
        <v>3783783.1241754168</v>
      </c>
      <c r="LA15" s="358">
        <f t="shared" si="46"/>
        <v>5081743.2386544459</v>
      </c>
      <c r="LB15" s="326"/>
      <c r="LC15" s="323"/>
      <c r="LD15" s="322"/>
      <c r="LE15" s="374">
        <f t="shared" si="71"/>
        <v>10</v>
      </c>
      <c r="LF15" s="375">
        <v>9</v>
      </c>
      <c r="LG15" s="376">
        <f t="shared" si="72"/>
        <v>1</v>
      </c>
      <c r="LH15" s="376">
        <f t="shared" si="72"/>
        <v>1.0377488354421667</v>
      </c>
      <c r="LI15" s="377">
        <v>113.92083696213525</v>
      </c>
      <c r="LJ15" s="290">
        <f t="shared" si="73"/>
        <v>503945.47830910381</v>
      </c>
      <c r="LK15" s="377">
        <v>113.92083696213525</v>
      </c>
      <c r="LL15" s="290">
        <f t="shared" si="47"/>
        <v>54837.462869270901</v>
      </c>
      <c r="LM15" s="377">
        <v>113.92083696213525</v>
      </c>
      <c r="LN15" s="290">
        <f t="shared" si="48"/>
        <v>398481.51935421076</v>
      </c>
      <c r="LO15" s="377">
        <v>118.41952153062</v>
      </c>
      <c r="LP15" s="290">
        <f t="shared" si="74"/>
        <v>533357.53493713646</v>
      </c>
      <c r="LQ15" s="377">
        <v>118.887537452888</v>
      </c>
      <c r="LR15" s="290">
        <f t="shared" si="49"/>
        <v>73676.330935005491</v>
      </c>
      <c r="LS15" s="377">
        <v>168.49721907230401</v>
      </c>
      <c r="LT15" s="290">
        <f t="shared" si="50"/>
        <v>59736.481621264029</v>
      </c>
      <c r="LU15" s="377">
        <v>107.679074448752</v>
      </c>
      <c r="LV15" s="290">
        <f t="shared" si="51"/>
        <v>99786.973269793307</v>
      </c>
      <c r="LW15" s="377">
        <v>115.99271402550001</v>
      </c>
      <c r="LX15" s="378">
        <f t="shared" si="52"/>
        <v>278381.31826556695</v>
      </c>
      <c r="LY15" s="379">
        <f t="shared" si="53"/>
        <v>2124168.7560846745</v>
      </c>
      <c r="LZ15" s="379">
        <f t="shared" si="75"/>
        <v>2002203.0995613518</v>
      </c>
      <c r="MA15" s="103"/>
      <c r="MB15" s="335"/>
      <c r="MD15" s="338">
        <v>10</v>
      </c>
      <c r="ME15" s="380">
        <v>10</v>
      </c>
      <c r="MF15" s="20">
        <f t="shared" si="19"/>
        <v>3209793.040836364</v>
      </c>
      <c r="MG15" s="20">
        <f t="shared" si="19"/>
        <v>3783783.1241754168</v>
      </c>
      <c r="MH15" s="343">
        <f t="shared" si="20"/>
        <v>5081743.2386544459</v>
      </c>
      <c r="MI15" s="20">
        <f t="shared" si="21"/>
        <v>2965050.7795969401</v>
      </c>
      <c r="MJ15" s="20">
        <f t="shared" si="21"/>
        <v>3537940.9278093553</v>
      </c>
      <c r="MK15" s="343">
        <f t="shared" si="54"/>
        <v>3425352.8598862882</v>
      </c>
      <c r="ML15" s="20">
        <f t="shared" si="55"/>
        <v>244742.26123942388</v>
      </c>
      <c r="MM15" s="20">
        <f t="shared" si="55"/>
        <v>245842.19636606146</v>
      </c>
      <c r="MN15" s="20">
        <f t="shared" si="55"/>
        <v>1656390.3787681577</v>
      </c>
      <c r="MX15" s="283">
        <f t="shared" si="85"/>
        <v>9</v>
      </c>
      <c r="MY15" s="388" t="s">
        <v>58</v>
      </c>
      <c r="MZ15" s="17">
        <f t="shared" si="115"/>
        <v>2029437.6824085335</v>
      </c>
      <c r="NA15" s="381">
        <f t="shared" si="116"/>
        <v>9.2573719777447133E-2</v>
      </c>
      <c r="NB15" s="97"/>
      <c r="NC15" s="18">
        <f t="shared" si="117"/>
        <v>2029437.6824085335</v>
      </c>
      <c r="ND15" s="381">
        <f t="shared" si="118"/>
        <v>9.2573719777447133E-2</v>
      </c>
      <c r="NH15" s="283">
        <f t="shared" si="86"/>
        <v>9</v>
      </c>
      <c r="NI15" s="388" t="str">
        <f t="shared" si="58"/>
        <v>Contract Labour</v>
      </c>
      <c r="NJ15" s="17">
        <v>2413478.5233385852</v>
      </c>
      <c r="NK15" s="17">
        <f t="shared" si="119"/>
        <v>2029437.6824085335</v>
      </c>
      <c r="NL15" s="17">
        <f t="shared" si="77"/>
        <v>-384040.84093005164</v>
      </c>
      <c r="NM15" s="395">
        <f t="shared" si="78"/>
        <v>-0.15912337201940571</v>
      </c>
    </row>
    <row r="16" spans="2:387" x14ac:dyDescent="0.3">
      <c r="B16" s="265">
        <f t="shared" si="79"/>
        <v>11</v>
      </c>
      <c r="C16" s="384"/>
      <c r="D16" s="97" t="s">
        <v>49</v>
      </c>
      <c r="E16" s="286"/>
      <c r="F16" s="18">
        <f>DK9</f>
        <v>15891148.762049999</v>
      </c>
      <c r="G16" s="313">
        <f t="shared" si="108"/>
        <v>0.76458980113025965</v>
      </c>
      <c r="H16" s="18">
        <f>DM9</f>
        <v>17229598.204603884</v>
      </c>
      <c r="I16" s="309">
        <f t="shared" si="109"/>
        <v>0.82699638874046988</v>
      </c>
      <c r="J16" s="290">
        <f t="shared" si="59"/>
        <v>1338449.4425538853</v>
      </c>
      <c r="K16" s="18">
        <f>JJ26</f>
        <v>17704130.732731506</v>
      </c>
      <c r="L16" s="309">
        <f t="shared" si="110"/>
        <v>0.83806722629177899</v>
      </c>
      <c r="M16" s="290">
        <f t="shared" si="60"/>
        <v>474532.52812762186</v>
      </c>
      <c r="N16" s="18">
        <f>LN27</f>
        <v>15711197.861928774</v>
      </c>
      <c r="O16" s="309">
        <f t="shared" si="111"/>
        <v>0.71667341197296042</v>
      </c>
      <c r="P16" s="290">
        <f t="shared" si="61"/>
        <v>-1992932.8708027322</v>
      </c>
      <c r="Q16" s="18">
        <f t="shared" si="62"/>
        <v>-179950.90012122504</v>
      </c>
      <c r="R16" s="310">
        <f t="shared" si="63"/>
        <v>-6.2669406636691405E-2</v>
      </c>
      <c r="V16" s="249">
        <f t="shared" si="64"/>
        <v>8</v>
      </c>
      <c r="W16" s="463" t="s">
        <v>134</v>
      </c>
      <c r="X16" s="20">
        <f>X14-X10</f>
        <v>1139133.5835034992</v>
      </c>
      <c r="Y16" s="20">
        <f t="shared" ref="Y16:AA16" si="120">Y14-Y10</f>
        <v>1002184.7413331178</v>
      </c>
      <c r="Z16" s="20">
        <f t="shared" si="120"/>
        <v>-2317494.9093960105</v>
      </c>
      <c r="AA16" s="20">
        <f t="shared" si="120"/>
        <v>-176176.58455939358</v>
      </c>
      <c r="AB16" s="20"/>
      <c r="AC16" s="349"/>
      <c r="AF16" s="385">
        <f t="shared" si="80"/>
        <v>10</v>
      </c>
      <c r="AG16" s="388" t="s">
        <v>186</v>
      </c>
      <c r="AH16" s="389">
        <f>AH15*3600/$K$24</f>
        <v>3.0694523728800589</v>
      </c>
      <c r="AI16" s="389">
        <f>AI15*3600/$K$24</f>
        <v>0.19273652493560511</v>
      </c>
      <c r="AJ16" s="389">
        <f>AJ15*3600/$K$24</f>
        <v>0.93284596095336303</v>
      </c>
      <c r="AL16" s="464"/>
      <c r="AN16" s="283">
        <f>AN15+1</f>
        <v>11</v>
      </c>
      <c r="AO16" s="390"/>
      <c r="AP16" s="390"/>
      <c r="AQ16" s="390" t="s">
        <v>50</v>
      </c>
      <c r="AR16" s="286"/>
      <c r="AS16" s="392">
        <v>3443976.8344000001</v>
      </c>
      <c r="AT16" s="393">
        <v>0.33584033829171284</v>
      </c>
      <c r="AU16" s="394"/>
      <c r="AV16" s="392">
        <v>5716425.9886499979</v>
      </c>
      <c r="AW16" s="393">
        <v>0.52970164931322072</v>
      </c>
      <c r="AX16" s="383">
        <f t="shared" si="96"/>
        <v>0.57724248375762066</v>
      </c>
      <c r="AY16" s="394"/>
      <c r="AZ16" s="392">
        <v>7023487.4984412417</v>
      </c>
      <c r="BA16" s="393">
        <v>0.54439866027303074</v>
      </c>
      <c r="BB16" s="383">
        <f t="shared" si="97"/>
        <v>2.7745828201338085E-2</v>
      </c>
      <c r="BC16" s="394"/>
      <c r="BD16" s="392">
        <v>8390599.8471698686</v>
      </c>
      <c r="BE16" s="393">
        <v>0.57055201798647071</v>
      </c>
      <c r="BF16" s="383">
        <f t="shared" si="98"/>
        <v>4.8040819388356581E-2</v>
      </c>
      <c r="BG16" s="394"/>
      <c r="BH16" s="392">
        <v>9500186.8885000013</v>
      </c>
      <c r="BI16" s="393">
        <v>0.62515977885076657</v>
      </c>
      <c r="BJ16" s="383">
        <f t="shared" si="99"/>
        <v>9.5710398250822948E-2</v>
      </c>
      <c r="BK16" s="394"/>
      <c r="BL16" s="392">
        <v>10661854.069499999</v>
      </c>
      <c r="BM16" s="393">
        <v>0.63383023373989222</v>
      </c>
      <c r="BN16" s="383">
        <f t="shared" si="100"/>
        <v>1.386918221940725E-2</v>
      </c>
      <c r="BO16" s="394"/>
      <c r="BP16" s="392">
        <v>13069899.7289</v>
      </c>
      <c r="BQ16" s="393">
        <v>0.70465626418798799</v>
      </c>
      <c r="BR16" s="383">
        <f t="shared" si="101"/>
        <v>0.11174290319063718</v>
      </c>
      <c r="BS16" s="394"/>
      <c r="BT16" s="97">
        <v>15592449</v>
      </c>
      <c r="BU16" s="97">
        <v>0.79</v>
      </c>
      <c r="BV16" s="97">
        <f t="shared" si="102"/>
        <v>0.12111399578680837</v>
      </c>
      <c r="BW16" s="18">
        <v>21298745.488500003</v>
      </c>
      <c r="BX16" s="19">
        <v>1.100304672859262</v>
      </c>
      <c r="BY16" s="19">
        <f t="shared" si="65"/>
        <v>0.39279072513830626</v>
      </c>
      <c r="BZ16" s="19">
        <v>23700279.210100003</v>
      </c>
      <c r="CA16" s="19">
        <v>1.1618369851162706</v>
      </c>
      <c r="CB16" s="19">
        <f t="shared" si="66"/>
        <v>5.5922976403535829E-2</v>
      </c>
      <c r="CC16" s="18">
        <f t="shared" si="103"/>
        <v>24697713.659500003</v>
      </c>
      <c r="CD16" s="19">
        <f t="shared" si="103"/>
        <v>1.1883105657147701</v>
      </c>
      <c r="CE16" s="395">
        <f t="shared" si="104"/>
        <v>2.2785968201769924E-2</v>
      </c>
      <c r="CF16" s="396">
        <f t="shared" si="68"/>
        <v>6.1712775221970295</v>
      </c>
      <c r="CG16" s="395">
        <f t="shared" si="105"/>
        <v>0.11566328314482499</v>
      </c>
      <c r="DA16" s="518"/>
      <c r="DK16" s="518"/>
      <c r="DQ16" s="537"/>
      <c r="DR16" s="537"/>
      <c r="DS16" s="537"/>
      <c r="DT16" s="537"/>
      <c r="DU16" s="537"/>
      <c r="DV16" s="537"/>
      <c r="DW16" s="537"/>
      <c r="DX16" s="537"/>
      <c r="DY16" s="537"/>
      <c r="DZ16" s="537"/>
      <c r="EN16" s="482"/>
      <c r="EO16" s="408"/>
      <c r="FD16" s="482"/>
      <c r="FE16" s="408"/>
      <c r="FG16" s="283">
        <f t="shared" si="84"/>
        <v>11</v>
      </c>
      <c r="FH16" s="406"/>
      <c r="FI16" s="407" t="s">
        <v>233</v>
      </c>
      <c r="FJ16" s="17">
        <v>83333.559999999983</v>
      </c>
      <c r="FK16" s="17">
        <v>215960.19999999998</v>
      </c>
      <c r="FL16" s="17">
        <v>506222.52</v>
      </c>
      <c r="FM16" s="290">
        <f t="shared" si="28"/>
        <v>805516.27999999991</v>
      </c>
      <c r="FN16" s="17">
        <v>87054.353030303013</v>
      </c>
      <c r="FO16" s="17">
        <v>217398.19999999998</v>
      </c>
      <c r="FP16" s="17">
        <v>506222.52000000014</v>
      </c>
      <c r="FQ16" s="17">
        <v>810675.07303030312</v>
      </c>
      <c r="FR16" s="17">
        <v>810675.07303030312</v>
      </c>
      <c r="FS16" s="103"/>
      <c r="FT16" s="408"/>
      <c r="GK16" s="344"/>
      <c r="GL16" s="344"/>
      <c r="GM16" s="344"/>
      <c r="GN16" s="344"/>
      <c r="GO16" s="344"/>
      <c r="GP16" s="344"/>
      <c r="GQ16" s="344"/>
      <c r="GR16" s="344"/>
      <c r="HW16" s="283">
        <v>11</v>
      </c>
      <c r="HX16" s="306">
        <v>11</v>
      </c>
      <c r="HY16" s="306">
        <v>10</v>
      </c>
      <c r="HZ16" s="306">
        <v>10</v>
      </c>
      <c r="IA16" s="307">
        <v>80622257</v>
      </c>
      <c r="IB16" s="307">
        <v>83015823</v>
      </c>
      <c r="IC16" s="309">
        <f t="shared" si="5"/>
        <v>1</v>
      </c>
      <c r="ID16" s="309">
        <f t="shared" si="6"/>
        <v>1.0296886503685949</v>
      </c>
      <c r="IE16" s="310">
        <v>0</v>
      </c>
      <c r="IF16" s="310">
        <v>1</v>
      </c>
      <c r="IG16" s="310">
        <v>0</v>
      </c>
      <c r="IK16" s="410">
        <v>11</v>
      </c>
      <c r="IL16" s="317">
        <v>11</v>
      </c>
      <c r="IM16" s="313">
        <f t="shared" si="7"/>
        <v>1.0296886503685949</v>
      </c>
      <c r="IN16" s="17">
        <v>0</v>
      </c>
      <c r="IO16" s="290">
        <f t="shared" si="29"/>
        <v>0</v>
      </c>
      <c r="IP16" s="17">
        <v>8901393</v>
      </c>
      <c r="IQ16" s="290">
        <v>9057976</v>
      </c>
      <c r="IR16" s="17">
        <v>3757373.3893999998</v>
      </c>
      <c r="IS16" s="290">
        <v>3781161</v>
      </c>
      <c r="IT16" s="17">
        <v>225000</v>
      </c>
      <c r="IU16" s="17">
        <v>225000</v>
      </c>
      <c r="IV16" s="17">
        <f t="shared" si="30"/>
        <v>3982373.3893999998</v>
      </c>
      <c r="IW16" s="17">
        <f t="shared" si="30"/>
        <v>4006161</v>
      </c>
      <c r="IX16" s="314"/>
      <c r="IY16" s="315"/>
      <c r="IZ16" s="314"/>
      <c r="JA16" s="316">
        <v>11</v>
      </c>
      <c r="JB16" s="317">
        <v>11</v>
      </c>
      <c r="JC16" s="318">
        <f t="shared" si="8"/>
        <v>1</v>
      </c>
      <c r="JD16" s="319">
        <f t="shared" si="8"/>
        <v>1.0296886503685949</v>
      </c>
      <c r="JE16" s="17">
        <v>1255752.9763298852</v>
      </c>
      <c r="JF16" s="290">
        <f t="shared" si="70"/>
        <v>1293034.5873934657</v>
      </c>
      <c r="JG16" s="17">
        <v>87580.62999999999</v>
      </c>
      <c r="JH16" s="290">
        <f t="shared" si="31"/>
        <v>90180.78070313127</v>
      </c>
      <c r="JI16" s="17">
        <v>639216.06367011496</v>
      </c>
      <c r="JJ16" s="290">
        <f t="shared" si="32"/>
        <v>639216.06367011496</v>
      </c>
      <c r="JK16" s="17">
        <v>1076517.2886915016</v>
      </c>
      <c r="JL16" s="290">
        <v>1076517.2886915016</v>
      </c>
      <c r="JM16" s="17">
        <v>55586.068000000007</v>
      </c>
      <c r="JN16" s="290">
        <f t="shared" si="33"/>
        <v>57236.343338216946</v>
      </c>
      <c r="JO16" s="17">
        <v>41360.133999999998</v>
      </c>
      <c r="JP16" s="290">
        <f t="shared" si="34"/>
        <v>42588.06055752423</v>
      </c>
      <c r="JQ16" s="17">
        <v>92360.92</v>
      </c>
      <c r="JR16" s="290">
        <f t="shared" si="35"/>
        <v>95102.991061601759</v>
      </c>
      <c r="JS16" s="17">
        <v>306414.38704999996</v>
      </c>
      <c r="JT16" s="290">
        <f t="shared" si="36"/>
        <v>315511.4166550347</v>
      </c>
      <c r="JU16" s="17">
        <f t="shared" si="37"/>
        <v>3554788.4677415015</v>
      </c>
      <c r="JV16" s="17">
        <f t="shared" si="37"/>
        <v>3609387.5320705916</v>
      </c>
      <c r="JW16" s="320">
        <f t="shared" si="9"/>
        <v>4.347830813013311</v>
      </c>
      <c r="KA16" s="283">
        <v>11</v>
      </c>
      <c r="KB16" s="306">
        <v>11</v>
      </c>
      <c r="KC16" s="97">
        <f t="shared" si="10"/>
        <v>10</v>
      </c>
      <c r="KD16" s="97">
        <f t="shared" si="11"/>
        <v>10</v>
      </c>
      <c r="KE16" s="289">
        <f t="shared" si="12"/>
        <v>83015823</v>
      </c>
      <c r="KF16" s="289">
        <f t="shared" si="13"/>
        <v>86149573.641523033</v>
      </c>
      <c r="KG16" s="321">
        <f t="shared" si="38"/>
        <v>1</v>
      </c>
      <c r="KH16" s="321">
        <f t="shared" si="39"/>
        <v>1.0377488354421667</v>
      </c>
      <c r="KI16" s="321">
        <f t="shared" si="40"/>
        <v>0.97066840473962746</v>
      </c>
      <c r="KJ16" s="306" t="s">
        <v>256</v>
      </c>
      <c r="KK16" s="322"/>
      <c r="KL16" s="323"/>
      <c r="KM16" s="322"/>
      <c r="KN16" s="283">
        <v>11</v>
      </c>
      <c r="KO16" s="306">
        <v>11</v>
      </c>
      <c r="KP16" s="324" t="str">
        <f t="shared" si="14"/>
        <v>Q3</v>
      </c>
      <c r="KQ16" s="325">
        <f t="shared" si="15"/>
        <v>0.97066840473962746</v>
      </c>
      <c r="KR16" s="17">
        <f t="shared" si="41"/>
        <v>0</v>
      </c>
      <c r="KS16" s="17">
        <f t="shared" si="42"/>
        <v>0</v>
      </c>
      <c r="KT16" s="17">
        <f t="shared" si="16"/>
        <v>9057976</v>
      </c>
      <c r="KU16" s="17">
        <f t="shared" si="43"/>
        <v>9426150.7344677094</v>
      </c>
      <c r="KV16" s="17">
        <f t="shared" si="17"/>
        <v>3781161</v>
      </c>
      <c r="KW16" s="17">
        <f t="shared" si="18"/>
        <v>5174464.0751365554</v>
      </c>
      <c r="KX16" s="17">
        <f t="shared" si="44"/>
        <v>225000</v>
      </c>
      <c r="KY16" s="17">
        <f t="shared" si="45"/>
        <v>187014.063139734</v>
      </c>
      <c r="KZ16" s="17">
        <f t="shared" si="46"/>
        <v>4006161</v>
      </c>
      <c r="LA16" s="17">
        <f t="shared" si="46"/>
        <v>5361478.1382762892</v>
      </c>
      <c r="LB16" s="326"/>
      <c r="LC16" s="323"/>
      <c r="LD16" s="322"/>
      <c r="LE16" s="364">
        <f t="shared" si="71"/>
        <v>11</v>
      </c>
      <c r="LF16" s="365">
        <v>10</v>
      </c>
      <c r="LG16" s="411">
        <f t="shared" si="72"/>
        <v>1</v>
      </c>
      <c r="LH16" s="411">
        <f t="shared" si="72"/>
        <v>1.0377488354421667</v>
      </c>
      <c r="LI16" s="412">
        <v>106.45762205358784</v>
      </c>
      <c r="LJ16" s="343">
        <f t="shared" si="73"/>
        <v>1169181.7574783904</v>
      </c>
      <c r="LK16" s="412">
        <v>106.45762205358784</v>
      </c>
      <c r="LL16" s="343">
        <f t="shared" si="47"/>
        <v>97929.411725278842</v>
      </c>
      <c r="LM16" s="412">
        <v>106.45762205358784</v>
      </c>
      <c r="LN16" s="343">
        <f t="shared" si="48"/>
        <v>605851.6544001993</v>
      </c>
      <c r="LO16" s="412">
        <v>118.614283549666</v>
      </c>
      <c r="LP16" s="343">
        <f t="shared" si="74"/>
        <v>827510.55484717013</v>
      </c>
      <c r="LQ16" s="412">
        <v>119.48337591187899</v>
      </c>
      <c r="LR16" s="343">
        <f t="shared" si="49"/>
        <v>149899.35282594187</v>
      </c>
      <c r="LS16" s="412">
        <v>157.07111615098</v>
      </c>
      <c r="LT16" s="343">
        <f t="shared" si="50"/>
        <v>51822.756938656981</v>
      </c>
      <c r="LU16" s="412">
        <v>112.15574935818501</v>
      </c>
      <c r="LV16" s="343">
        <f t="shared" si="51"/>
        <v>107178.54718649203</v>
      </c>
      <c r="LW16" s="412">
        <v>116.939890710382</v>
      </c>
      <c r="LX16" s="343">
        <f t="shared" si="52"/>
        <v>415978.82448415871</v>
      </c>
      <c r="LY16" s="20">
        <f t="shared" si="53"/>
        <v>3537940.9278093553</v>
      </c>
      <c r="LZ16" s="20">
        <f t="shared" si="75"/>
        <v>3425352.8598862882</v>
      </c>
      <c r="MA16" s="103"/>
      <c r="MB16" s="335"/>
      <c r="MD16" s="283">
        <v>11</v>
      </c>
      <c r="ME16" s="336">
        <v>11</v>
      </c>
      <c r="MF16" s="17">
        <f t="shared" si="19"/>
        <v>3982373.3893999998</v>
      </c>
      <c r="MG16" s="17">
        <f t="shared" si="19"/>
        <v>4006161</v>
      </c>
      <c r="MH16" s="290">
        <f t="shared" si="20"/>
        <v>5361478.1382762892</v>
      </c>
      <c r="MI16" s="17">
        <f t="shared" si="21"/>
        <v>3554788.4677415015</v>
      </c>
      <c r="MJ16" s="17">
        <f t="shared" si="21"/>
        <v>3609387.5320705916</v>
      </c>
      <c r="MK16" s="290">
        <f t="shared" si="54"/>
        <v>3503518.4378420622</v>
      </c>
      <c r="ML16" s="17">
        <f t="shared" si="55"/>
        <v>427584.92165849824</v>
      </c>
      <c r="MM16" s="17">
        <f t="shared" si="55"/>
        <v>396773.46792940842</v>
      </c>
      <c r="MN16" s="17">
        <f t="shared" si="55"/>
        <v>1857959.700434227</v>
      </c>
      <c r="MX16" s="338">
        <f t="shared" si="85"/>
        <v>10</v>
      </c>
      <c r="MY16" s="346" t="s">
        <v>49</v>
      </c>
      <c r="MZ16" s="20">
        <f t="shared" si="115"/>
        <v>15711197.861928774</v>
      </c>
      <c r="NA16" s="414">
        <f t="shared" si="116"/>
        <v>0.71667341197296042</v>
      </c>
      <c r="NC16" s="15">
        <f t="shared" si="117"/>
        <v>15711197.861928774</v>
      </c>
      <c r="ND16" s="414">
        <f t="shared" si="118"/>
        <v>0.71667341197296042</v>
      </c>
      <c r="NH16" s="338">
        <f t="shared" si="86"/>
        <v>10</v>
      </c>
      <c r="NI16" s="346" t="str">
        <f t="shared" si="58"/>
        <v>Overhead Labour</v>
      </c>
      <c r="NJ16" s="20">
        <v>23349083.540678918</v>
      </c>
      <c r="NK16" s="20">
        <f t="shared" si="119"/>
        <v>15711197.861928774</v>
      </c>
      <c r="NL16" s="20">
        <f t="shared" si="77"/>
        <v>-7637885.6787501443</v>
      </c>
      <c r="NM16" s="351">
        <f t="shared" si="78"/>
        <v>-0.32711715067717206</v>
      </c>
    </row>
    <row r="17" spans="2:377" x14ac:dyDescent="0.3">
      <c r="B17" s="226">
        <f t="shared" si="79"/>
        <v>12</v>
      </c>
      <c r="C17" s="339"/>
      <c r="D17" s="518" t="s">
        <v>50</v>
      </c>
      <c r="E17" s="340"/>
      <c r="F17" s="15">
        <f>DV12</f>
        <v>24697713.659500003</v>
      </c>
      <c r="G17" s="341">
        <f t="shared" si="108"/>
        <v>1.1883105657147701</v>
      </c>
      <c r="H17" s="15">
        <f>DZ12</f>
        <v>20963340.954979219</v>
      </c>
      <c r="I17" s="342">
        <f t="shared" si="109"/>
        <v>1.0062107693881408</v>
      </c>
      <c r="J17" s="343">
        <f t="shared" si="59"/>
        <v>-3734372.7045207843</v>
      </c>
      <c r="K17" s="15">
        <f>JL26</f>
        <v>21765718.436968524</v>
      </c>
      <c r="L17" s="342">
        <f t="shared" si="110"/>
        <v>1.0303321611263139</v>
      </c>
      <c r="M17" s="343">
        <f t="shared" si="60"/>
        <v>802377.48198930547</v>
      </c>
      <c r="N17" s="15">
        <f>LP27</f>
        <v>22755368.059679482</v>
      </c>
      <c r="O17" s="342">
        <f t="shared" si="111"/>
        <v>1.0379964284931331</v>
      </c>
      <c r="P17" s="343">
        <f t="shared" si="61"/>
        <v>989649.62271095812</v>
      </c>
      <c r="Q17" s="15">
        <f t="shared" si="62"/>
        <v>-1942345.5998205207</v>
      </c>
      <c r="R17" s="344">
        <f t="shared" si="63"/>
        <v>-0.12649398360875708</v>
      </c>
      <c r="V17" s="275"/>
      <c r="W17" s="276" t="s">
        <v>28</v>
      </c>
      <c r="X17" s="415"/>
      <c r="Y17" s="416"/>
      <c r="Z17" s="416"/>
      <c r="AA17" s="416"/>
      <c r="AB17" s="279"/>
      <c r="AC17" s="351"/>
      <c r="AF17" s="417">
        <f t="shared" si="80"/>
        <v>11</v>
      </c>
      <c r="AG17" s="418" t="s">
        <v>195</v>
      </c>
      <c r="AH17" s="477">
        <f>JF26/AH15</f>
        <v>20.537971247053672</v>
      </c>
      <c r="AI17" s="477">
        <f>JH26/AI15</f>
        <v>19.390724851022238</v>
      </c>
      <c r="AJ17" s="477">
        <f>JJ26/AJ15</f>
        <v>32.342338831236461</v>
      </c>
      <c r="AL17" s="464"/>
      <c r="AN17" s="338">
        <f t="shared" ref="AN17:AN20" si="121">AN16+1</f>
        <v>12</v>
      </c>
      <c r="AO17" s="96"/>
      <c r="AQ17" s="518" t="s">
        <v>234</v>
      </c>
      <c r="AR17" s="340"/>
      <c r="AS17" s="348">
        <v>1216501.406</v>
      </c>
      <c r="AT17" s="349">
        <v>0.11862746567938538</v>
      </c>
      <c r="AU17" s="350"/>
      <c r="AV17" s="348">
        <v>2361150.2250000001</v>
      </c>
      <c r="AW17" s="349">
        <v>0.2187914565748014</v>
      </c>
      <c r="AX17" s="351">
        <f t="shared" si="96"/>
        <v>0.84435750457764458</v>
      </c>
      <c r="AY17" s="350"/>
      <c r="AZ17" s="348">
        <v>2483160.2930935998</v>
      </c>
      <c r="BA17" s="349">
        <v>0.19247263373122833</v>
      </c>
      <c r="BB17" s="351">
        <f t="shared" si="97"/>
        <v>-0.12029182151623485</v>
      </c>
      <c r="BC17" s="350"/>
      <c r="BD17" s="348">
        <v>3556357.1057280144</v>
      </c>
      <c r="BE17" s="349">
        <v>0.24182856533648778</v>
      </c>
      <c r="BF17" s="351">
        <f t="shared" si="98"/>
        <v>0.25643090473932428</v>
      </c>
      <c r="BG17" s="350"/>
      <c r="BH17" s="348">
        <v>3747904.7313999999</v>
      </c>
      <c r="BI17" s="349">
        <v>0.24663086321723002</v>
      </c>
      <c r="BJ17" s="351">
        <f t="shared" si="99"/>
        <v>1.9858273872898957E-2</v>
      </c>
      <c r="BK17" s="350"/>
      <c r="BL17" s="348">
        <v>4022436.6702577379</v>
      </c>
      <c r="BM17" s="349">
        <v>0.23912744990636886</v>
      </c>
      <c r="BN17" s="351">
        <f t="shared" si="100"/>
        <v>-3.0423659119468094E-2</v>
      </c>
      <c r="BO17" s="350"/>
      <c r="BP17" s="105">
        <v>5745533.5202000001</v>
      </c>
      <c r="BQ17" s="349">
        <v>0.30976719562421123</v>
      </c>
      <c r="BR17" s="351">
        <f t="shared" si="101"/>
        <v>0.29540626032478334</v>
      </c>
      <c r="BS17" s="350"/>
      <c r="BT17" s="518">
        <v>6723403</v>
      </c>
      <c r="BU17" s="518">
        <v>0.34</v>
      </c>
      <c r="BV17" s="518">
        <f t="shared" si="102"/>
        <v>9.759847008611322E-2</v>
      </c>
      <c r="BW17" s="15">
        <v>7155288.9644999998</v>
      </c>
      <c r="BX17" s="16">
        <v>0.36964608490901918</v>
      </c>
      <c r="BY17" s="16">
        <f t="shared" si="65"/>
        <v>8.7194367379468174E-2</v>
      </c>
      <c r="BZ17" s="16">
        <v>8029824.328999999</v>
      </c>
      <c r="CA17" s="16">
        <v>0.39363869120338835</v>
      </c>
      <c r="CB17" s="16">
        <f t="shared" si="66"/>
        <v>6.4906967160965445E-2</v>
      </c>
      <c r="CC17" s="15">
        <f>F18+F19</f>
        <v>8459101.3854999989</v>
      </c>
      <c r="CD17" s="16">
        <f>G18+G19</f>
        <v>0.4070028380532128</v>
      </c>
      <c r="CE17" s="352">
        <f t="shared" si="104"/>
        <v>3.3950287785402988E-2</v>
      </c>
      <c r="CF17" s="353">
        <f t="shared" si="68"/>
        <v>5.9536305866793215</v>
      </c>
      <c r="CG17" s="352">
        <f t="shared" si="105"/>
        <v>0.1137546600202497</v>
      </c>
      <c r="CX17" s="438"/>
      <c r="CY17" s="455"/>
      <c r="CZ17" s="105"/>
      <c r="DA17" s="518"/>
      <c r="DB17" s="105"/>
      <c r="DK17" s="518"/>
      <c r="DQ17" s="537"/>
      <c r="DR17" s="537"/>
      <c r="DS17" s="537"/>
      <c r="DT17" s="537"/>
      <c r="DU17" s="537"/>
      <c r="DV17" s="537"/>
      <c r="DW17" s="537"/>
      <c r="DX17" s="537"/>
      <c r="DY17" s="537"/>
      <c r="DZ17" s="537"/>
      <c r="EI17" s="347"/>
      <c r="EO17" s="408"/>
      <c r="FE17" s="408"/>
      <c r="FG17" s="338">
        <f t="shared" si="84"/>
        <v>12</v>
      </c>
      <c r="FH17" s="360"/>
      <c r="FI17" s="361" t="s">
        <v>235</v>
      </c>
      <c r="FJ17" s="20">
        <v>28956.02</v>
      </c>
      <c r="FK17" s="20">
        <v>96946.930000000008</v>
      </c>
      <c r="FL17" s="20">
        <v>141566.59</v>
      </c>
      <c r="FM17" s="343">
        <f t="shared" si="28"/>
        <v>267469.53999999998</v>
      </c>
      <c r="FN17" s="20">
        <v>29235.52</v>
      </c>
      <c r="FO17" s="20">
        <v>97827.53</v>
      </c>
      <c r="FP17" s="20">
        <v>141566.59000000003</v>
      </c>
      <c r="FQ17" s="20">
        <v>268629.64</v>
      </c>
      <c r="FR17" s="20">
        <v>268629.64</v>
      </c>
      <c r="FS17" s="103"/>
      <c r="FT17" s="408"/>
      <c r="FV17" s="481"/>
      <c r="FW17" s="279"/>
      <c r="FX17" s="279"/>
      <c r="FY17" s="279"/>
      <c r="FZ17" s="279"/>
      <c r="GA17" s="279"/>
      <c r="GB17" s="279"/>
      <c r="GC17" s="279"/>
      <c r="GD17" s="279"/>
      <c r="GE17" s="279"/>
      <c r="HW17" s="338">
        <v>12</v>
      </c>
      <c r="HX17" s="322">
        <v>12</v>
      </c>
      <c r="HY17" s="322">
        <v>11</v>
      </c>
      <c r="HZ17" s="322">
        <v>10</v>
      </c>
      <c r="IA17" s="347">
        <v>98088319.200000003</v>
      </c>
      <c r="IB17" s="347">
        <v>88166104</v>
      </c>
      <c r="IC17" s="342">
        <f t="shared" si="5"/>
        <v>0.90909090909090906</v>
      </c>
      <c r="ID17" s="342">
        <f t="shared" si="6"/>
        <v>0.89884406949854223</v>
      </c>
      <c r="IE17" s="344">
        <v>0</v>
      </c>
      <c r="IF17" s="344">
        <v>1</v>
      </c>
      <c r="IG17" s="344">
        <v>0</v>
      </c>
      <c r="IK17" s="364">
        <v>12</v>
      </c>
      <c r="IL17" s="365">
        <v>12</v>
      </c>
      <c r="IM17" s="341">
        <f t="shared" si="7"/>
        <v>0.89884406949854223</v>
      </c>
      <c r="IN17" s="20">
        <v>274.95</v>
      </c>
      <c r="IO17" s="343">
        <f t="shared" si="29"/>
        <v>247.13717690862418</v>
      </c>
      <c r="IP17" s="20">
        <v>10676251.800000001</v>
      </c>
      <c r="IQ17" s="343">
        <v>9591387</v>
      </c>
      <c r="IR17" s="20">
        <v>4428895.8442199994</v>
      </c>
      <c r="IS17" s="343">
        <v>3936204</v>
      </c>
      <c r="IT17" s="20">
        <v>247500</v>
      </c>
      <c r="IU17" s="20">
        <v>225000</v>
      </c>
      <c r="IV17" s="20">
        <f t="shared" si="30"/>
        <v>4676670.7942199996</v>
      </c>
      <c r="IW17" s="20">
        <f t="shared" si="30"/>
        <v>4161451.1371769086</v>
      </c>
      <c r="IX17" s="314"/>
      <c r="IY17" s="315"/>
      <c r="IZ17" s="314"/>
      <c r="JA17" s="366">
        <v>12</v>
      </c>
      <c r="JB17" s="365">
        <v>12</v>
      </c>
      <c r="JC17" s="367">
        <f t="shared" si="8"/>
        <v>0.90909090909090906</v>
      </c>
      <c r="JD17" s="368">
        <f t="shared" si="8"/>
        <v>0.89884406949854223</v>
      </c>
      <c r="JE17" s="20">
        <v>1477321.4620474414</v>
      </c>
      <c r="JF17" s="343">
        <f t="shared" si="70"/>
        <v>1327881.6349042584</v>
      </c>
      <c r="JG17" s="20">
        <v>173561.70699999997</v>
      </c>
      <c r="JH17" s="343">
        <f t="shared" si="31"/>
        <v>156004.91102899361</v>
      </c>
      <c r="JI17" s="20">
        <v>902813.73595255893</v>
      </c>
      <c r="JJ17" s="343">
        <f t="shared" si="32"/>
        <v>820739.75995687174</v>
      </c>
      <c r="JK17" s="20">
        <v>919805.23799024592</v>
      </c>
      <c r="JL17" s="343">
        <v>796353.12678071694</v>
      </c>
      <c r="JM17" s="20">
        <v>125924.8045</v>
      </c>
      <c r="JN17" s="343">
        <f t="shared" si="33"/>
        <v>113186.76372758835</v>
      </c>
      <c r="JO17" s="20">
        <v>84256.07699999999</v>
      </c>
      <c r="JP17" s="343">
        <f t="shared" si="34"/>
        <v>75733.075130662517</v>
      </c>
      <c r="JQ17" s="20">
        <v>165395.27000000002</v>
      </c>
      <c r="JR17" s="343">
        <f t="shared" si="35"/>
        <v>148664.55756261016</v>
      </c>
      <c r="JS17" s="20">
        <v>525941.78747999994</v>
      </c>
      <c r="JT17" s="343">
        <f t="shared" si="36"/>
        <v>472739.65657786059</v>
      </c>
      <c r="JU17" s="20">
        <f t="shared" si="37"/>
        <v>4375020.0819702465</v>
      </c>
      <c r="JV17" s="20">
        <f t="shared" si="37"/>
        <v>3911303.4856695626</v>
      </c>
      <c r="JW17" s="369">
        <f t="shared" si="9"/>
        <v>4.4362893540918655</v>
      </c>
      <c r="KA17" s="338">
        <v>12</v>
      </c>
      <c r="KB17" s="322">
        <v>12</v>
      </c>
      <c r="KC17" s="518">
        <f t="shared" si="10"/>
        <v>10</v>
      </c>
      <c r="KD17" s="518">
        <f t="shared" si="11"/>
        <v>10</v>
      </c>
      <c r="KE17" s="370">
        <f t="shared" si="12"/>
        <v>88166104</v>
      </c>
      <c r="KF17" s="370">
        <f t="shared" si="13"/>
        <v>91494271.75147295</v>
      </c>
      <c r="KG17" s="371">
        <f t="shared" si="38"/>
        <v>1</v>
      </c>
      <c r="KH17" s="371">
        <f t="shared" si="39"/>
        <v>1.0377488354421667</v>
      </c>
      <c r="KI17" s="371">
        <f t="shared" si="40"/>
        <v>1.0476862233911346</v>
      </c>
      <c r="KJ17" s="322" t="s">
        <v>440</v>
      </c>
      <c r="KK17" s="322"/>
      <c r="KL17" s="323"/>
      <c r="KM17" s="322"/>
      <c r="KN17" s="338">
        <v>12</v>
      </c>
      <c r="KO17" s="322">
        <v>12</v>
      </c>
      <c r="KP17" s="437" t="str">
        <f t="shared" si="14"/>
        <v>Q4</v>
      </c>
      <c r="KQ17" s="373">
        <f t="shared" si="15"/>
        <v>1.0476862233911346</v>
      </c>
      <c r="KR17" s="358">
        <f t="shared" si="41"/>
        <v>247.13717690862418</v>
      </c>
      <c r="KS17" s="358">
        <f t="shared" si="42"/>
        <v>258.92221553494318</v>
      </c>
      <c r="KT17" s="358">
        <f t="shared" si="16"/>
        <v>9591387</v>
      </c>
      <c r="KU17" s="358">
        <f t="shared" si="43"/>
        <v>10010946.780287372</v>
      </c>
      <c r="KV17" s="358">
        <f t="shared" si="17"/>
        <v>3936204</v>
      </c>
      <c r="KW17" s="358">
        <f t="shared" si="18"/>
        <v>5495486.5386656867</v>
      </c>
      <c r="KX17" s="358">
        <f t="shared" si="44"/>
        <v>225000</v>
      </c>
      <c r="KY17" s="358">
        <f t="shared" si="45"/>
        <v>198616.36907749929</v>
      </c>
      <c r="KZ17" s="358">
        <f t="shared" si="46"/>
        <v>4161451.1371769086</v>
      </c>
      <c r="LA17" s="358">
        <f t="shared" si="46"/>
        <v>5694361.8299587211</v>
      </c>
      <c r="LB17" s="326"/>
      <c r="LC17" s="323"/>
      <c r="LD17" s="322"/>
      <c r="LE17" s="374">
        <f t="shared" si="71"/>
        <v>12</v>
      </c>
      <c r="LF17" s="375">
        <v>11</v>
      </c>
      <c r="LG17" s="376">
        <f t="shared" si="72"/>
        <v>1</v>
      </c>
      <c r="LH17" s="376">
        <f t="shared" si="72"/>
        <v>1.0377488354421667</v>
      </c>
      <c r="LI17" s="377">
        <v>106.45762205358784</v>
      </c>
      <c r="LJ17" s="290">
        <f t="shared" si="73"/>
        <v>1183523.3890096422</v>
      </c>
      <c r="LK17" s="377">
        <v>106.45762205358784</v>
      </c>
      <c r="LL17" s="290">
        <f t="shared" si="47"/>
        <v>82543.084494326366</v>
      </c>
      <c r="LM17" s="377">
        <v>106.45762205358784</v>
      </c>
      <c r="LN17" s="290">
        <f t="shared" si="48"/>
        <v>563796.17958927469</v>
      </c>
      <c r="LO17" s="377">
        <v>118.614283549666</v>
      </c>
      <c r="LP17" s="290">
        <f t="shared" si="74"/>
        <v>1126062.0941259102</v>
      </c>
      <c r="LQ17" s="377">
        <v>119.48337591187899</v>
      </c>
      <c r="LR17" s="290">
        <f t="shared" si="49"/>
        <v>62098.838164602545</v>
      </c>
      <c r="LS17" s="377">
        <v>157.07111615098</v>
      </c>
      <c r="LT17" s="290">
        <f t="shared" si="50"/>
        <v>40184.256959841448</v>
      </c>
      <c r="LU17" s="377">
        <v>112.15574935818501</v>
      </c>
      <c r="LV17" s="290">
        <f t="shared" si="51"/>
        <v>103754.41843000747</v>
      </c>
      <c r="LW17" s="377">
        <v>116.939890710382</v>
      </c>
      <c r="LX17" s="378">
        <f t="shared" si="52"/>
        <v>341556.17706845741</v>
      </c>
      <c r="LY17" s="379">
        <f t="shared" si="53"/>
        <v>3609387.5320705916</v>
      </c>
      <c r="LZ17" s="379">
        <f t="shared" si="75"/>
        <v>3503518.4378420622</v>
      </c>
      <c r="MA17" s="103"/>
      <c r="MB17" s="335"/>
      <c r="MD17" s="338">
        <v>12</v>
      </c>
      <c r="ME17" s="380">
        <v>12</v>
      </c>
      <c r="MF17" s="20">
        <f t="shared" si="19"/>
        <v>4676670.7942199996</v>
      </c>
      <c r="MG17" s="20">
        <f t="shared" si="19"/>
        <v>4161451.1371769086</v>
      </c>
      <c r="MH17" s="343">
        <f t="shared" si="20"/>
        <v>5694361.8299587211</v>
      </c>
      <c r="MI17" s="20">
        <f t="shared" si="21"/>
        <v>4375020.0819702465</v>
      </c>
      <c r="MJ17" s="20">
        <f t="shared" si="21"/>
        <v>3911303.4856695626</v>
      </c>
      <c r="MK17" s="343">
        <f t="shared" si="54"/>
        <v>4097818.7774377246</v>
      </c>
      <c r="ML17" s="20">
        <f t="shared" si="55"/>
        <v>301650.71224975307</v>
      </c>
      <c r="MM17" s="20">
        <f t="shared" si="55"/>
        <v>250147.65150734596</v>
      </c>
      <c r="MN17" s="20">
        <f t="shared" si="55"/>
        <v>1596543.0525209964</v>
      </c>
      <c r="MX17" s="283">
        <f t="shared" si="85"/>
        <v>11</v>
      </c>
      <c r="MY17" s="388" t="s">
        <v>50</v>
      </c>
      <c r="MZ17" s="17">
        <f t="shared" si="115"/>
        <v>22755368.059679482</v>
      </c>
      <c r="NA17" s="381">
        <f t="shared" si="116"/>
        <v>1.0379964284931331</v>
      </c>
      <c r="NB17" s="97"/>
      <c r="NC17" s="18">
        <f t="shared" si="117"/>
        <v>22755368.059679482</v>
      </c>
      <c r="ND17" s="381">
        <f t="shared" si="118"/>
        <v>1.0379964284931331</v>
      </c>
      <c r="NH17" s="283">
        <f t="shared" si="86"/>
        <v>11</v>
      </c>
      <c r="NI17" s="388" t="str">
        <f t="shared" si="58"/>
        <v>Building</v>
      </c>
      <c r="NJ17" s="17">
        <v>22476369.306504369</v>
      </c>
      <c r="NK17" s="17">
        <f t="shared" si="119"/>
        <v>22755368.059679482</v>
      </c>
      <c r="NL17" s="17">
        <f t="shared" si="77"/>
        <v>278998.75317511335</v>
      </c>
      <c r="NM17" s="395">
        <f t="shared" si="78"/>
        <v>1.2412981357019024E-2</v>
      </c>
    </row>
    <row r="18" spans="2:377" x14ac:dyDescent="0.3">
      <c r="B18" s="265">
        <f t="shared" si="79"/>
        <v>13</v>
      </c>
      <c r="C18" s="384"/>
      <c r="D18" s="97" t="s">
        <v>53</v>
      </c>
      <c r="E18" s="286"/>
      <c r="F18" s="18">
        <f>EI9</f>
        <v>4942367.6066999994</v>
      </c>
      <c r="G18" s="313">
        <f t="shared" si="108"/>
        <v>0.23779802971474448</v>
      </c>
      <c r="H18" s="18">
        <f>EM9</f>
        <v>4946747.1885321252</v>
      </c>
      <c r="I18" s="309">
        <f t="shared" si="109"/>
        <v>0.23743688113603295</v>
      </c>
      <c r="J18" s="290">
        <f t="shared" si="59"/>
        <v>4379.581832125783</v>
      </c>
      <c r="K18" s="18">
        <f>JR26</f>
        <v>4997847.5990450596</v>
      </c>
      <c r="L18" s="309">
        <f t="shared" si="110"/>
        <v>0.236585028544606</v>
      </c>
      <c r="M18" s="290">
        <f t="shared" si="60"/>
        <v>51100.410512934439</v>
      </c>
      <c r="N18" s="18">
        <f>LV27</f>
        <v>5496829.7548589967</v>
      </c>
      <c r="O18" s="309">
        <f t="shared" si="111"/>
        <v>0.25074038084615324</v>
      </c>
      <c r="P18" s="290">
        <f t="shared" si="61"/>
        <v>498982.15581393708</v>
      </c>
      <c r="Q18" s="18">
        <f t="shared" si="62"/>
        <v>554462.1481589973</v>
      </c>
      <c r="R18" s="310">
        <f t="shared" si="63"/>
        <v>5.4425813144600266E-2</v>
      </c>
      <c r="V18" s="249">
        <f>V16+1</f>
        <v>9</v>
      </c>
      <c r="W18" s="345" t="s">
        <v>176</v>
      </c>
      <c r="X18" s="20">
        <f>SUMPRODUCT($MN$6:$MN$25,IE6:IE25)</f>
        <v>2367698.0426182388</v>
      </c>
      <c r="Y18" s="20">
        <f>SUMPRODUCT($MN$6:$MN$25,IF6:IF25)</f>
        <v>12936996.585605843</v>
      </c>
      <c r="Z18" s="20">
        <f>SUMPRODUCT($MN$6:$MN$25,IG6:IG25)</f>
        <v>27232305.123712681</v>
      </c>
      <c r="AA18" s="20">
        <f>SUM(X18:Z18)</f>
        <v>42536999.751936764</v>
      </c>
      <c r="AB18" s="20"/>
      <c r="AF18" s="385">
        <f t="shared" si="80"/>
        <v>12</v>
      </c>
      <c r="AG18" s="282" t="s">
        <v>28</v>
      </c>
      <c r="AH18" s="97"/>
      <c r="AI18" s="97"/>
      <c r="AJ18" s="97"/>
      <c r="AL18" s="464"/>
      <c r="AN18" s="483">
        <f t="shared" si="121"/>
        <v>13</v>
      </c>
      <c r="AO18" s="484"/>
      <c r="AP18" s="485"/>
      <c r="AQ18" s="485" t="s">
        <v>54</v>
      </c>
      <c r="AR18" s="486"/>
      <c r="AS18" s="487">
        <v>5928822.8260000004</v>
      </c>
      <c r="AT18" s="488">
        <v>0.57815077141840288</v>
      </c>
      <c r="AU18" s="489"/>
      <c r="AV18" s="487">
        <v>3792013.7597000003</v>
      </c>
      <c r="AW18" s="488">
        <v>0.35137968141626907</v>
      </c>
      <c r="AX18" s="490">
        <f t="shared" si="96"/>
        <v>-0.39223521132002692</v>
      </c>
      <c r="AY18" s="489"/>
      <c r="AZ18" s="487">
        <v>5238845.7033359464</v>
      </c>
      <c r="BA18" s="488">
        <v>0.40606900530629209</v>
      </c>
      <c r="BB18" s="490">
        <f t="shared" si="97"/>
        <v>0.15564167987628807</v>
      </c>
      <c r="BC18" s="489"/>
      <c r="BD18" s="487">
        <v>5407089.8699504221</v>
      </c>
      <c r="BE18" s="488">
        <v>0.36767645852816944</v>
      </c>
      <c r="BF18" s="490">
        <f t="shared" si="98"/>
        <v>-9.4546853555502741E-2</v>
      </c>
      <c r="BG18" s="489"/>
      <c r="BH18" s="487">
        <v>7543565.8774000006</v>
      </c>
      <c r="BI18" s="488">
        <v>0.49640433719995791</v>
      </c>
      <c r="BJ18" s="490">
        <f t="shared" si="99"/>
        <v>0.3501118325255137</v>
      </c>
      <c r="BK18" s="489"/>
      <c r="BL18" s="487">
        <v>8178976.4044999983</v>
      </c>
      <c r="BM18" s="488">
        <v>0.48622711326046231</v>
      </c>
      <c r="BN18" s="490">
        <f t="shared" si="100"/>
        <v>-2.050188359936933E-2</v>
      </c>
      <c r="BO18" s="489"/>
      <c r="BP18" s="487">
        <v>9693134.9169999994</v>
      </c>
      <c r="BQ18" s="488">
        <v>0.52259989598697731</v>
      </c>
      <c r="BR18" s="490">
        <f t="shared" si="101"/>
        <v>7.4806158962654967E-2</v>
      </c>
      <c r="BS18" s="489"/>
      <c r="BT18" s="485">
        <v>9228973</v>
      </c>
      <c r="BU18" s="485">
        <v>0.47</v>
      </c>
      <c r="BV18" s="485">
        <f t="shared" si="102"/>
        <v>-0.10065041419045384</v>
      </c>
      <c r="BW18" s="26">
        <v>10423908.153099999</v>
      </c>
      <c r="BX18" s="27">
        <v>0.53850471411588496</v>
      </c>
      <c r="BY18" s="27">
        <f t="shared" si="65"/>
        <v>0.14575471088486158</v>
      </c>
      <c r="BZ18" s="27">
        <v>10530651.726950001</v>
      </c>
      <c r="CA18" s="27">
        <v>0.51623445214666785</v>
      </c>
      <c r="CB18" s="27">
        <f t="shared" si="66"/>
        <v>-4.1355741900570675E-2</v>
      </c>
      <c r="CC18" s="26">
        <f t="shared" ref="CC18:CD20" si="122">F20</f>
        <v>10262021.9365</v>
      </c>
      <c r="CD18" s="27">
        <f t="shared" si="122"/>
        <v>0.49374890570281921</v>
      </c>
      <c r="CE18" s="395">
        <f t="shared" si="104"/>
        <v>-4.3556849703359712E-2</v>
      </c>
      <c r="CF18" s="491">
        <f t="shared" si="68"/>
        <v>0.73087006268721288</v>
      </c>
      <c r="CG18" s="395">
        <f t="shared" si="105"/>
        <v>3.0948366399667249E-2</v>
      </c>
      <c r="CX18" s="438"/>
      <c r="CY18" s="455"/>
      <c r="CZ18" s="105"/>
      <c r="DA18" s="518"/>
      <c r="DB18" s="105"/>
      <c r="DK18" s="518"/>
      <c r="DQ18" s="537"/>
      <c r="DR18" s="537"/>
      <c r="DS18" s="537"/>
      <c r="DT18" s="537"/>
      <c r="DU18" s="537"/>
      <c r="DV18" s="537"/>
      <c r="DW18" s="537"/>
      <c r="DX18" s="537"/>
      <c r="DY18" s="537"/>
      <c r="DZ18" s="537"/>
      <c r="EI18" s="347"/>
      <c r="EO18" s="408"/>
      <c r="FE18" s="408"/>
      <c r="FG18" s="283">
        <f t="shared" si="84"/>
        <v>13</v>
      </c>
      <c r="FH18" s="406"/>
      <c r="FI18" s="407" t="s">
        <v>236</v>
      </c>
      <c r="FJ18" s="17">
        <v>43908.417999999998</v>
      </c>
      <c r="FK18" s="17">
        <v>51418.920000000006</v>
      </c>
      <c r="FL18" s="17">
        <v>50658.33</v>
      </c>
      <c r="FM18" s="290">
        <f t="shared" si="28"/>
        <v>145985.66800000001</v>
      </c>
      <c r="FN18" s="17">
        <v>44220.630121212111</v>
      </c>
      <c r="FO18" s="17">
        <v>51511.12</v>
      </c>
      <c r="FP18" s="17">
        <v>50658.330000000009</v>
      </c>
      <c r="FQ18" s="17">
        <v>146390.08012121212</v>
      </c>
      <c r="FR18" s="17">
        <v>146390.08012121212</v>
      </c>
      <c r="FS18" s="103"/>
      <c r="FT18" s="408"/>
      <c r="GB18" s="344"/>
      <c r="GC18" s="344"/>
      <c r="GD18" s="344"/>
      <c r="GE18" s="344"/>
      <c r="GK18" s="355"/>
      <c r="GL18" s="355"/>
      <c r="GM18" s="355"/>
      <c r="GN18" s="355"/>
      <c r="GO18" s="355"/>
      <c r="GP18" s="355"/>
      <c r="GQ18" s="355"/>
      <c r="GR18" s="355"/>
      <c r="HW18" s="283">
        <v>13</v>
      </c>
      <c r="HX18" s="306">
        <v>13</v>
      </c>
      <c r="HY18" s="306">
        <v>10</v>
      </c>
      <c r="HZ18" s="306">
        <v>11</v>
      </c>
      <c r="IA18" s="307">
        <v>102121804</v>
      </c>
      <c r="IB18" s="307">
        <v>110978821</v>
      </c>
      <c r="IC18" s="309">
        <f t="shared" si="5"/>
        <v>1.1000000000000001</v>
      </c>
      <c r="ID18" s="309">
        <f t="shared" si="6"/>
        <v>1.0867299308578606</v>
      </c>
      <c r="IE18" s="310">
        <v>0</v>
      </c>
      <c r="IF18" s="310">
        <v>1</v>
      </c>
      <c r="IG18" s="310">
        <v>0</v>
      </c>
      <c r="IK18" s="410">
        <v>13</v>
      </c>
      <c r="IL18" s="317">
        <v>13</v>
      </c>
      <c r="IM18" s="313">
        <f t="shared" si="7"/>
        <v>1.0867299308578606</v>
      </c>
      <c r="IN18" s="17">
        <v>38</v>
      </c>
      <c r="IO18" s="290">
        <f t="shared" si="29"/>
        <v>41.295737372598701</v>
      </c>
      <c r="IP18" s="17">
        <v>11270819</v>
      </c>
      <c r="IQ18" s="290">
        <v>12226499</v>
      </c>
      <c r="IR18" s="17">
        <v>4764103.0435000006</v>
      </c>
      <c r="IS18" s="290">
        <v>5108269</v>
      </c>
      <c r="IT18" s="17">
        <v>225000</v>
      </c>
      <c r="IU18" s="17">
        <v>247500</v>
      </c>
      <c r="IV18" s="17">
        <f t="shared" si="30"/>
        <v>4989141.0435000006</v>
      </c>
      <c r="IW18" s="17">
        <f t="shared" si="30"/>
        <v>5355810.2957373727</v>
      </c>
      <c r="IX18" s="314"/>
      <c r="IY18" s="315"/>
      <c r="IZ18" s="314"/>
      <c r="JA18" s="316">
        <v>13</v>
      </c>
      <c r="JB18" s="317">
        <v>13</v>
      </c>
      <c r="JC18" s="318">
        <f t="shared" si="8"/>
        <v>1.1000000000000001</v>
      </c>
      <c r="JD18" s="319">
        <f t="shared" si="8"/>
        <v>1.0867299308578606</v>
      </c>
      <c r="JE18" s="17">
        <v>2071386.4181252802</v>
      </c>
      <c r="JF18" s="290">
        <f t="shared" si="70"/>
        <v>2251037.6189491972</v>
      </c>
      <c r="JG18" s="17">
        <v>70310.223499999993</v>
      </c>
      <c r="JH18" s="290">
        <f t="shared" si="31"/>
        <v>76408.224322755719</v>
      </c>
      <c r="JI18" s="17">
        <v>1129294.8683747198</v>
      </c>
      <c r="JJ18" s="290">
        <f t="shared" si="32"/>
        <v>1242224.3552121918</v>
      </c>
      <c r="JK18" s="17">
        <v>1201729.8593524098</v>
      </c>
      <c r="JL18" s="290">
        <v>1325181.9705619391</v>
      </c>
      <c r="JM18" s="17">
        <v>49177.789399999994</v>
      </c>
      <c r="JN18" s="290">
        <f t="shared" si="33"/>
        <v>53442.975674404428</v>
      </c>
      <c r="JO18" s="17">
        <v>78958.960399999982</v>
      </c>
      <c r="JP18" s="290">
        <f t="shared" si="34"/>
        <v>85807.065576100533</v>
      </c>
      <c r="JQ18" s="17">
        <v>137795.64800000002</v>
      </c>
      <c r="JR18" s="290">
        <f t="shared" si="35"/>
        <v>149746.65502355411</v>
      </c>
      <c r="JS18" s="17">
        <v>297705.73260000005</v>
      </c>
      <c r="JT18" s="290">
        <f t="shared" si="36"/>
        <v>323525.73020438681</v>
      </c>
      <c r="JU18" s="17">
        <f t="shared" si="37"/>
        <v>5036359.4997524098</v>
      </c>
      <c r="JV18" s="17">
        <f t="shared" si="37"/>
        <v>5507374.5955245309</v>
      </c>
      <c r="JW18" s="320">
        <f t="shared" si="9"/>
        <v>4.9625455973482824</v>
      </c>
      <c r="KA18" s="283">
        <v>13</v>
      </c>
      <c r="KB18" s="306">
        <v>13</v>
      </c>
      <c r="KC18" s="97">
        <f t="shared" si="10"/>
        <v>11</v>
      </c>
      <c r="KD18" s="390">
        <f t="shared" si="11"/>
        <v>11</v>
      </c>
      <c r="KE18" s="289">
        <f t="shared" si="12"/>
        <v>110978821</v>
      </c>
      <c r="KF18" s="289">
        <f t="shared" si="13"/>
        <v>115168142.25149468</v>
      </c>
      <c r="KG18" s="321">
        <f t="shared" si="38"/>
        <v>1</v>
      </c>
      <c r="KH18" s="321">
        <f t="shared" si="39"/>
        <v>1.0377488354421667</v>
      </c>
      <c r="KI18" s="321">
        <f t="shared" si="40"/>
        <v>0.95593696354377833</v>
      </c>
      <c r="KJ18" s="306" t="s">
        <v>256</v>
      </c>
      <c r="KK18" s="322"/>
      <c r="KL18" s="323"/>
      <c r="KM18" s="322"/>
      <c r="KN18" s="283">
        <v>13</v>
      </c>
      <c r="KO18" s="306">
        <v>13</v>
      </c>
      <c r="KP18" s="324" t="str">
        <f t="shared" si="14"/>
        <v>Q3</v>
      </c>
      <c r="KQ18" s="325">
        <f t="shared" si="15"/>
        <v>0.95593696354377833</v>
      </c>
      <c r="KR18" s="17">
        <f t="shared" si="41"/>
        <v>41.295737372598701</v>
      </c>
      <c r="KS18" s="17">
        <f t="shared" si="42"/>
        <v>39.476121791263331</v>
      </c>
      <c r="KT18" s="17">
        <f t="shared" si="16"/>
        <v>12226499</v>
      </c>
      <c r="KU18" s="17">
        <f t="shared" si="43"/>
        <v>12601249.463966772</v>
      </c>
      <c r="KV18" s="17">
        <f t="shared" si="17"/>
        <v>5108269</v>
      </c>
      <c r="KW18" s="17">
        <f t="shared" si="18"/>
        <v>6917427.3242525142</v>
      </c>
      <c r="KX18" s="17">
        <f t="shared" si="44"/>
        <v>247500</v>
      </c>
      <c r="KY18" s="17">
        <f t="shared" si="45"/>
        <v>250007.76343164407</v>
      </c>
      <c r="KZ18" s="17">
        <f t="shared" si="46"/>
        <v>5355810.2957373727</v>
      </c>
      <c r="LA18" s="17">
        <f t="shared" si="46"/>
        <v>7167474.5638059499</v>
      </c>
      <c r="LB18" s="326"/>
      <c r="LC18" s="323"/>
      <c r="LD18" s="322"/>
      <c r="LE18" s="364">
        <f t="shared" si="71"/>
        <v>13</v>
      </c>
      <c r="LF18" s="365">
        <v>12</v>
      </c>
      <c r="LG18" s="411">
        <f t="shared" si="72"/>
        <v>1</v>
      </c>
      <c r="LH18" s="411">
        <f t="shared" si="72"/>
        <v>1.0377488354421667</v>
      </c>
      <c r="LI18" s="412">
        <v>92.086954396969617</v>
      </c>
      <c r="LJ18" s="343">
        <f t="shared" si="73"/>
        <v>1405091.8632547006</v>
      </c>
      <c r="LK18" s="412">
        <v>92.086954396969617</v>
      </c>
      <c r="LL18" s="343">
        <f t="shared" si="47"/>
        <v>165075.88127794015</v>
      </c>
      <c r="LM18" s="412">
        <v>92.086954396969617</v>
      </c>
      <c r="LN18" s="343">
        <f t="shared" si="48"/>
        <v>836871.1040764068</v>
      </c>
      <c r="LO18" s="412">
        <v>119.50379714140099</v>
      </c>
      <c r="LP18" s="343">
        <f t="shared" si="74"/>
        <v>826803.49761689059</v>
      </c>
      <c r="LQ18" s="412">
        <v>120.433043671646</v>
      </c>
      <c r="LR18" s="343">
        <f t="shared" si="49"/>
        <v>121834.15618226721</v>
      </c>
      <c r="LS18" s="412">
        <v>146.40099357416699</v>
      </c>
      <c r="LT18" s="343">
        <f t="shared" si="50"/>
        <v>76666.559936030229</v>
      </c>
      <c r="LU18" s="412">
        <v>116.183248398364</v>
      </c>
      <c r="LV18" s="343">
        <f t="shared" si="51"/>
        <v>156566.15768306309</v>
      </c>
      <c r="LW18" s="412">
        <v>117.5956284153</v>
      </c>
      <c r="LX18" s="343">
        <f t="shared" si="52"/>
        <v>508909.55741042591</v>
      </c>
      <c r="LY18" s="20">
        <f t="shared" si="53"/>
        <v>3911303.4856695626</v>
      </c>
      <c r="LZ18" s="20">
        <f t="shared" si="75"/>
        <v>4097818.7774377246</v>
      </c>
      <c r="MA18" s="103"/>
      <c r="MB18" s="335"/>
      <c r="MD18" s="283">
        <v>13</v>
      </c>
      <c r="ME18" s="336">
        <v>13</v>
      </c>
      <c r="MF18" s="17">
        <f t="shared" si="19"/>
        <v>4989141.0435000006</v>
      </c>
      <c r="MG18" s="17">
        <f t="shared" si="19"/>
        <v>5355810.2957373727</v>
      </c>
      <c r="MH18" s="290">
        <f t="shared" si="20"/>
        <v>7167474.5638059499</v>
      </c>
      <c r="MI18" s="17">
        <f t="shared" si="21"/>
        <v>5036359.4997524098</v>
      </c>
      <c r="MJ18" s="17">
        <f t="shared" si="21"/>
        <v>5507374.5955245309</v>
      </c>
      <c r="MK18" s="290">
        <f t="shared" si="54"/>
        <v>5264702.9479438644</v>
      </c>
      <c r="ML18" s="17">
        <f t="shared" si="55"/>
        <v>-47218.456252409145</v>
      </c>
      <c r="MM18" s="17">
        <f t="shared" si="55"/>
        <v>-151564.29978715815</v>
      </c>
      <c r="MN18" s="17">
        <f t="shared" si="55"/>
        <v>1902771.6158620855</v>
      </c>
      <c r="MX18" s="338">
        <f t="shared" si="85"/>
        <v>12</v>
      </c>
      <c r="MY18" s="346" t="s">
        <v>53</v>
      </c>
      <c r="MZ18" s="20">
        <f t="shared" si="115"/>
        <v>5496829.7548589967</v>
      </c>
      <c r="NA18" s="414">
        <f t="shared" si="116"/>
        <v>0.25074038084615324</v>
      </c>
      <c r="NC18" s="15">
        <f t="shared" si="117"/>
        <v>5496829.7548589967</v>
      </c>
      <c r="ND18" s="414">
        <f t="shared" si="118"/>
        <v>0.25074038084615324</v>
      </c>
      <c r="NH18" s="338">
        <f t="shared" si="86"/>
        <v>12</v>
      </c>
      <c r="NI18" s="346" t="str">
        <f t="shared" si="58"/>
        <v>Equipment</v>
      </c>
      <c r="NJ18" s="20">
        <v>5407933.3588502686</v>
      </c>
      <c r="NK18" s="20">
        <f t="shared" si="119"/>
        <v>5496829.7548589967</v>
      </c>
      <c r="NL18" s="20">
        <f t="shared" si="77"/>
        <v>88896.396008728072</v>
      </c>
      <c r="NM18" s="351">
        <f t="shared" si="78"/>
        <v>1.6438145611252043E-2</v>
      </c>
    </row>
    <row r="19" spans="2:377" x14ac:dyDescent="0.3">
      <c r="B19" s="226">
        <f t="shared" si="79"/>
        <v>14</v>
      </c>
      <c r="C19" s="339"/>
      <c r="D19" s="518" t="s">
        <v>51</v>
      </c>
      <c r="E19" s="340"/>
      <c r="F19" s="15">
        <f>EV9</f>
        <v>3516733.7788</v>
      </c>
      <c r="G19" s="341">
        <f t="shared" si="108"/>
        <v>0.16920480833846835</v>
      </c>
      <c r="H19" s="15">
        <f>FC9</f>
        <v>3375997.0894500008</v>
      </c>
      <c r="I19" s="342">
        <f t="shared" si="109"/>
        <v>0.1620430939955094</v>
      </c>
      <c r="J19" s="343">
        <f t="shared" si="59"/>
        <v>-140736.68934999919</v>
      </c>
      <c r="K19" s="15">
        <f>JN26+JP26</f>
        <v>3467071.2212437498</v>
      </c>
      <c r="L19" s="342">
        <f t="shared" si="110"/>
        <v>0.1641220800732022</v>
      </c>
      <c r="M19" s="343">
        <f t="shared" si="60"/>
        <v>91074.131793749053</v>
      </c>
      <c r="N19" s="15">
        <f>LR27+LT27</f>
        <v>3577342.9690406607</v>
      </c>
      <c r="O19" s="342">
        <f t="shared" si="111"/>
        <v>0.16318212105471563</v>
      </c>
      <c r="P19" s="343">
        <f t="shared" si="61"/>
        <v>110271.74779691081</v>
      </c>
      <c r="Q19" s="15">
        <f t="shared" si="62"/>
        <v>60609.190240660682</v>
      </c>
      <c r="R19" s="344">
        <f t="shared" si="63"/>
        <v>-3.5594066994273921E-2</v>
      </c>
      <c r="V19" s="385">
        <f t="shared" si="64"/>
        <v>10</v>
      </c>
      <c r="W19" s="386" t="s">
        <v>185</v>
      </c>
      <c r="X19" s="309">
        <f>X18/N$24*100</f>
        <v>0.10800361943354701</v>
      </c>
      <c r="Y19" s="309">
        <f>Y18/N$24*100</f>
        <v>0.59012696327601699</v>
      </c>
      <c r="Z19" s="309">
        <f>Z18/N$24*100</f>
        <v>1.2422139419548974</v>
      </c>
      <c r="AA19" s="309">
        <f>AA18/N$24*100</f>
        <v>1.9403445246644617</v>
      </c>
      <c r="AB19" s="342"/>
      <c r="AC19" s="348"/>
      <c r="AF19" s="249">
        <f t="shared" si="80"/>
        <v>13</v>
      </c>
      <c r="AG19" s="346" t="s">
        <v>78</v>
      </c>
      <c r="AH19" s="105">
        <f>AH15*LH27</f>
        <v>1869159.677058999</v>
      </c>
      <c r="AI19" s="105">
        <f>AI15*LH27</f>
        <v>117367.95263191614</v>
      </c>
      <c r="AJ19" s="105">
        <f>AJ15*LG27</f>
        <v>547397.97344627196</v>
      </c>
      <c r="AL19" s="464"/>
      <c r="AN19" s="338">
        <f t="shared" si="121"/>
        <v>14</v>
      </c>
      <c r="AO19" s="492"/>
      <c r="AP19" s="493" t="s">
        <v>60</v>
      </c>
      <c r="AQ19" s="475"/>
      <c r="AR19" s="340"/>
      <c r="AS19" s="348">
        <v>32802383.3928</v>
      </c>
      <c r="AT19" s="349">
        <v>3.1987333437832652</v>
      </c>
      <c r="AU19" s="350"/>
      <c r="AV19" s="348">
        <v>36250313.730549999</v>
      </c>
      <c r="AW19" s="349">
        <v>3.359065788539803</v>
      </c>
      <c r="AX19" s="351">
        <f t="shared" si="96"/>
        <v>5.012372946564736E-2</v>
      </c>
      <c r="AY19" s="350"/>
      <c r="AZ19" s="348">
        <v>43223045.707989462</v>
      </c>
      <c r="BA19" s="349">
        <v>3.3502683932407789</v>
      </c>
      <c r="BB19" s="351">
        <f t="shared" si="97"/>
        <v>-2.6190005950578188E-3</v>
      </c>
      <c r="BC19" s="350"/>
      <c r="BD19" s="348">
        <v>49380961.369565383</v>
      </c>
      <c r="BE19" s="349">
        <v>3.3578537497555252</v>
      </c>
      <c r="BF19" s="351">
        <f t="shared" si="98"/>
        <v>2.2641041326867395E-3</v>
      </c>
      <c r="BG19" s="350"/>
      <c r="BH19" s="348">
        <v>57308507.547660008</v>
      </c>
      <c r="BI19" s="349">
        <v>3.7711862224659241</v>
      </c>
      <c r="BJ19" s="351">
        <f t="shared" si="99"/>
        <v>0.12309424516791179</v>
      </c>
      <c r="BK19" s="350"/>
      <c r="BL19" s="348">
        <v>61753474.575707734</v>
      </c>
      <c r="BM19" s="349">
        <v>3.6711456534132534</v>
      </c>
      <c r="BN19" s="351">
        <f t="shared" si="100"/>
        <v>-2.6527613103989212E-2</v>
      </c>
      <c r="BO19" s="350"/>
      <c r="BP19" s="348">
        <v>74174917.572400004</v>
      </c>
      <c r="BQ19" s="349">
        <v>3.9990987993156044</v>
      </c>
      <c r="BR19" s="351">
        <f t="shared" si="101"/>
        <v>8.9332643502563425E-2</v>
      </c>
      <c r="BS19" s="350"/>
      <c r="BT19" s="518">
        <v>83233170</v>
      </c>
      <c r="BU19" s="518">
        <v>4.24</v>
      </c>
      <c r="BV19" s="518">
        <f t="shared" si="102"/>
        <v>6.0238871999267252E-2</v>
      </c>
      <c r="BW19" s="15">
        <v>91278660.188299984</v>
      </c>
      <c r="BX19" s="16">
        <v>4.7155047883804926</v>
      </c>
      <c r="BY19" s="16">
        <f t="shared" si="65"/>
        <v>0.11214735575011603</v>
      </c>
      <c r="BZ19" s="16">
        <v>96836161.677461118</v>
      </c>
      <c r="CA19" s="16">
        <v>4.7471100714133083</v>
      </c>
      <c r="CB19" s="16">
        <f t="shared" si="66"/>
        <v>6.7024177582630795E-3</v>
      </c>
      <c r="CC19" s="15">
        <f t="shared" si="122"/>
        <v>99050498.270499989</v>
      </c>
      <c r="CD19" s="16">
        <f t="shared" si="122"/>
        <v>4.7657348067469085</v>
      </c>
      <c r="CE19" s="494">
        <f t="shared" si="104"/>
        <v>3.923383922727286E-3</v>
      </c>
      <c r="CF19" s="353">
        <f t="shared" si="68"/>
        <v>2.0196128459446396</v>
      </c>
      <c r="CG19" s="494">
        <f t="shared" si="105"/>
        <v>6.3319942515177807E-2</v>
      </c>
      <c r="CX19" s="438"/>
      <c r="CY19" s="455"/>
      <c r="CZ19" s="105"/>
      <c r="DA19" s="518"/>
      <c r="DB19" s="105"/>
      <c r="DK19" s="518"/>
      <c r="EO19" s="408"/>
      <c r="FE19" s="408"/>
      <c r="FG19" s="338">
        <f t="shared" si="84"/>
        <v>14</v>
      </c>
      <c r="FH19" s="360"/>
      <c r="FI19" s="361" t="s">
        <v>237</v>
      </c>
      <c r="FJ19" s="20">
        <v>61149.932899999993</v>
      </c>
      <c r="FK19" s="20">
        <v>92721.46</v>
      </c>
      <c r="FL19" s="20">
        <v>139427.68999999997</v>
      </c>
      <c r="FM19" s="343">
        <f t="shared" si="28"/>
        <v>293299.08289999998</v>
      </c>
      <c r="FN19" s="20">
        <v>64235.94502121213</v>
      </c>
      <c r="FO19" s="20">
        <v>92721.46</v>
      </c>
      <c r="FP19" s="20">
        <v>139427.69</v>
      </c>
      <c r="FQ19" s="20">
        <v>296385.09502121212</v>
      </c>
      <c r="FR19" s="20">
        <v>296385.09502121212</v>
      </c>
      <c r="FS19" s="103"/>
      <c r="FT19" s="408"/>
      <c r="HW19" s="338">
        <v>14</v>
      </c>
      <c r="HX19" s="322">
        <v>14</v>
      </c>
      <c r="HY19" s="322">
        <v>10</v>
      </c>
      <c r="HZ19" s="322">
        <v>11</v>
      </c>
      <c r="IA19" s="347">
        <v>127639512</v>
      </c>
      <c r="IB19" s="347">
        <v>140878049</v>
      </c>
      <c r="IC19" s="342">
        <f t="shared" si="5"/>
        <v>1.1000000000000001</v>
      </c>
      <c r="ID19" s="342">
        <f t="shared" si="6"/>
        <v>1.1037181730998784</v>
      </c>
      <c r="IE19" s="344">
        <v>0</v>
      </c>
      <c r="IF19" s="344">
        <v>0.81818181818181823</v>
      </c>
      <c r="IG19" s="344">
        <v>0.18181818181818182</v>
      </c>
      <c r="IK19" s="364">
        <v>14</v>
      </c>
      <c r="IL19" s="365">
        <v>14</v>
      </c>
      <c r="IM19" s="341">
        <f t="shared" si="7"/>
        <v>1.1037181730998784</v>
      </c>
      <c r="IN19" s="20">
        <v>5921.73</v>
      </c>
      <c r="IO19" s="343">
        <f t="shared" si="29"/>
        <v>6535.9210171907425</v>
      </c>
      <c r="IP19" s="20">
        <v>14076353</v>
      </c>
      <c r="IQ19" s="343">
        <v>15546310</v>
      </c>
      <c r="IR19" s="20">
        <v>6009582.7253</v>
      </c>
      <c r="IS19" s="343">
        <v>6612666</v>
      </c>
      <c r="IT19" s="20">
        <v>225000</v>
      </c>
      <c r="IU19" s="20">
        <v>247500</v>
      </c>
      <c r="IV19" s="20">
        <f t="shared" si="30"/>
        <v>6240504.4553000005</v>
      </c>
      <c r="IW19" s="20">
        <f t="shared" si="30"/>
        <v>6866701.9210171904</v>
      </c>
      <c r="IX19" s="314"/>
      <c r="IY19" s="315"/>
      <c r="IZ19" s="314"/>
      <c r="JA19" s="366">
        <v>14</v>
      </c>
      <c r="JB19" s="365">
        <v>14</v>
      </c>
      <c r="JC19" s="367">
        <f t="shared" si="8"/>
        <v>1.1000000000000001</v>
      </c>
      <c r="JD19" s="368">
        <f t="shared" si="8"/>
        <v>1.1037181730998784</v>
      </c>
      <c r="JE19" s="20">
        <v>2955752.728087069</v>
      </c>
      <c r="JF19" s="343">
        <f t="shared" si="70"/>
        <v>3262318.0011792416</v>
      </c>
      <c r="JG19" s="20">
        <v>72608.53</v>
      </c>
      <c r="JH19" s="343">
        <f t="shared" si="31"/>
        <v>80139.354083067708</v>
      </c>
      <c r="JI19" s="20">
        <v>1045787.5419129311</v>
      </c>
      <c r="JJ19" s="343">
        <f t="shared" si="32"/>
        <v>1150366.2961042244</v>
      </c>
      <c r="JK19" s="20">
        <v>1388384.8153083951</v>
      </c>
      <c r="JL19" s="343">
        <v>1553584.2256099153</v>
      </c>
      <c r="JM19" s="20">
        <v>143039.10675000004</v>
      </c>
      <c r="JN19" s="343">
        <f t="shared" si="33"/>
        <v>157874.86158394851</v>
      </c>
      <c r="JO19" s="20">
        <v>71991.232250000015</v>
      </c>
      <c r="JP19" s="343">
        <f t="shared" si="34"/>
        <v>79458.031338179062</v>
      </c>
      <c r="JQ19" s="20">
        <v>380591.60000000003</v>
      </c>
      <c r="JR19" s="343">
        <f t="shared" si="35"/>
        <v>420065.8654491597</v>
      </c>
      <c r="JS19" s="20">
        <v>583286.09279999998</v>
      </c>
      <c r="JT19" s="343">
        <f t="shared" si="36"/>
        <v>643783.46073978208</v>
      </c>
      <c r="JU19" s="20">
        <f t="shared" si="37"/>
        <v>6641441.6471083947</v>
      </c>
      <c r="JV19" s="20">
        <f t="shared" si="37"/>
        <v>7347590.0960875181</v>
      </c>
      <c r="JW19" s="369">
        <f t="shared" si="9"/>
        <v>5.2155677539852352</v>
      </c>
      <c r="KA19" s="338">
        <v>14</v>
      </c>
      <c r="KB19" s="322">
        <v>14</v>
      </c>
      <c r="KC19" s="518">
        <f t="shared" si="10"/>
        <v>11</v>
      </c>
      <c r="KD19" s="96">
        <f>KC19</f>
        <v>11</v>
      </c>
      <c r="KE19" s="370">
        <f t="shared" si="12"/>
        <v>140878049</v>
      </c>
      <c r="KF19" s="370">
        <f t="shared" si="13"/>
        <v>146196031.28911451</v>
      </c>
      <c r="KG19" s="371">
        <f t="shared" si="38"/>
        <v>1</v>
      </c>
      <c r="KH19" s="371">
        <f t="shared" si="39"/>
        <v>1.0377488354421667</v>
      </c>
      <c r="KI19" s="371">
        <f t="shared" si="40"/>
        <v>0.96637963632977752</v>
      </c>
      <c r="KJ19" s="322" t="s">
        <v>256</v>
      </c>
      <c r="KK19" s="322"/>
      <c r="KL19" s="323"/>
      <c r="KM19" s="322"/>
      <c r="KN19" s="338">
        <v>14</v>
      </c>
      <c r="KO19" s="322">
        <v>14</v>
      </c>
      <c r="KP19" s="437" t="str">
        <f t="shared" si="14"/>
        <v>Q3</v>
      </c>
      <c r="KQ19" s="373">
        <f t="shared" si="15"/>
        <v>0.96637963632977752</v>
      </c>
      <c r="KR19" s="358">
        <f t="shared" si="41"/>
        <v>6535.9210171907425</v>
      </c>
      <c r="KS19" s="358">
        <f t="shared" si="42"/>
        <v>6316.180975672939</v>
      </c>
      <c r="KT19" s="358">
        <f t="shared" si="16"/>
        <v>15546310</v>
      </c>
      <c r="KU19" s="358">
        <f t="shared" si="43"/>
        <v>15996200.206937993</v>
      </c>
      <c r="KV19" s="358">
        <f t="shared" si="17"/>
        <v>6612666</v>
      </c>
      <c r="KW19" s="358">
        <f t="shared" si="18"/>
        <v>8781077.8377253115</v>
      </c>
      <c r="KX19" s="358">
        <f t="shared" si="44"/>
        <v>247500</v>
      </c>
      <c r="KY19" s="358">
        <f t="shared" si="45"/>
        <v>317363.30977154244</v>
      </c>
      <c r="KZ19" s="358">
        <f t="shared" si="46"/>
        <v>6866701.9210171904</v>
      </c>
      <c r="LA19" s="358">
        <f t="shared" si="46"/>
        <v>9104757.3284725286</v>
      </c>
      <c r="LB19" s="326"/>
      <c r="LC19" s="323"/>
      <c r="LD19" s="322"/>
      <c r="LE19" s="374">
        <f t="shared" si="71"/>
        <v>14</v>
      </c>
      <c r="LF19" s="375">
        <v>13</v>
      </c>
      <c r="LG19" s="376">
        <f t="shared" si="72"/>
        <v>1</v>
      </c>
      <c r="LH19" s="376">
        <f t="shared" si="72"/>
        <v>1.0377488354421667</v>
      </c>
      <c r="LI19" s="377">
        <v>106.45762205358784</v>
      </c>
      <c r="LJ19" s="290">
        <f t="shared" si="73"/>
        <v>2060390.1067622846</v>
      </c>
      <c r="LK19" s="377">
        <v>106.45762205358784</v>
      </c>
      <c r="LL19" s="290">
        <f t="shared" si="47"/>
        <v>69936.969575554773</v>
      </c>
      <c r="LM19" s="377">
        <v>106.45762205358784</v>
      </c>
      <c r="LN19" s="290">
        <f t="shared" si="48"/>
        <v>1095656.673019445</v>
      </c>
      <c r="LO19" s="377">
        <v>118.614283549666</v>
      </c>
      <c r="LP19" s="290">
        <f t="shared" si="74"/>
        <v>1386171.1284569153</v>
      </c>
      <c r="LQ19" s="377">
        <v>119.48337591187899</v>
      </c>
      <c r="LR19" s="290">
        <f t="shared" si="49"/>
        <v>57983.206191715086</v>
      </c>
      <c r="LS19" s="377">
        <v>157.07111615098</v>
      </c>
      <c r="LT19" s="290">
        <f t="shared" si="50"/>
        <v>80963.845898138665</v>
      </c>
      <c r="LU19" s="377">
        <v>112.15574935818501</v>
      </c>
      <c r="LV19" s="290">
        <f t="shared" si="51"/>
        <v>163368.96379782626</v>
      </c>
      <c r="LW19" s="377">
        <v>116.939890710382</v>
      </c>
      <c r="LX19" s="378">
        <f t="shared" si="52"/>
        <v>350232.05424198462</v>
      </c>
      <c r="LY19" s="379">
        <f t="shared" si="53"/>
        <v>5507374.5955245309</v>
      </c>
      <c r="LZ19" s="379">
        <f t="shared" si="75"/>
        <v>5264702.9479438644</v>
      </c>
      <c r="MA19" s="103"/>
      <c r="MB19" s="335"/>
      <c r="MD19" s="338">
        <v>14</v>
      </c>
      <c r="ME19" s="380">
        <v>14</v>
      </c>
      <c r="MF19" s="20">
        <f t="shared" si="19"/>
        <v>6240504.4553000005</v>
      </c>
      <c r="MG19" s="20">
        <f t="shared" si="19"/>
        <v>6866701.9210171904</v>
      </c>
      <c r="MH19" s="343">
        <f t="shared" si="20"/>
        <v>9104757.3284725286</v>
      </c>
      <c r="MI19" s="20">
        <f t="shared" si="21"/>
        <v>6641441.6471083947</v>
      </c>
      <c r="MJ19" s="20">
        <f t="shared" si="21"/>
        <v>7347590.0960875181</v>
      </c>
      <c r="MK19" s="343">
        <f t="shared" si="54"/>
        <v>7100561.4449573308</v>
      </c>
      <c r="ML19" s="20">
        <f t="shared" si="55"/>
        <v>-400937.19180839416</v>
      </c>
      <c r="MM19" s="20">
        <f t="shared" si="55"/>
        <v>-480888.17507032771</v>
      </c>
      <c r="MN19" s="20">
        <f t="shared" si="55"/>
        <v>2004195.8835151978</v>
      </c>
      <c r="MX19" s="283">
        <f t="shared" si="85"/>
        <v>13</v>
      </c>
      <c r="MY19" s="388" t="s">
        <v>51</v>
      </c>
      <c r="MZ19" s="17">
        <f t="shared" si="115"/>
        <v>3577342.9690406607</v>
      </c>
      <c r="NA19" s="381">
        <f t="shared" si="116"/>
        <v>0.16318212105471563</v>
      </c>
      <c r="NB19" s="97"/>
      <c r="NC19" s="18">
        <f t="shared" si="117"/>
        <v>3577342.9690406607</v>
      </c>
      <c r="ND19" s="381">
        <f t="shared" si="118"/>
        <v>0.16318212105471563</v>
      </c>
      <c r="NH19" s="283">
        <f t="shared" si="86"/>
        <v>13</v>
      </c>
      <c r="NI19" s="388" t="str">
        <f t="shared" si="58"/>
        <v>Vehicle</v>
      </c>
      <c r="NJ19" s="17">
        <v>3646879.9333716799</v>
      </c>
      <c r="NK19" s="17">
        <f t="shared" si="119"/>
        <v>3577342.9690406607</v>
      </c>
      <c r="NL19" s="17">
        <f t="shared" si="77"/>
        <v>-69536.964331019204</v>
      </c>
      <c r="NM19" s="395">
        <f t="shared" si="78"/>
        <v>-1.9067522266007157E-2</v>
      </c>
    </row>
    <row r="20" spans="2:377" x14ac:dyDescent="0.3">
      <c r="B20" s="265">
        <f t="shared" si="79"/>
        <v>15</v>
      </c>
      <c r="C20" s="384"/>
      <c r="D20" s="390" t="s">
        <v>54</v>
      </c>
      <c r="E20" s="286"/>
      <c r="F20" s="18">
        <f>FM36</f>
        <v>10262021.9365</v>
      </c>
      <c r="G20" s="313">
        <f t="shared" si="108"/>
        <v>0.49374890570281921</v>
      </c>
      <c r="H20" s="18">
        <f>FR36</f>
        <v>9669260.545699697</v>
      </c>
      <c r="I20" s="309">
        <f t="shared" si="109"/>
        <v>0.46411085494423426</v>
      </c>
      <c r="J20" s="290">
        <f t="shared" si="59"/>
        <v>-592761.39080030285</v>
      </c>
      <c r="K20" s="18">
        <f>JT26</f>
        <v>9826395.2532786801</v>
      </c>
      <c r="L20" s="309">
        <f t="shared" si="110"/>
        <v>0.46515584067263549</v>
      </c>
      <c r="M20" s="290">
        <f t="shared" si="60"/>
        <v>157134.70757898316</v>
      </c>
      <c r="N20" s="18">
        <f>LX27</f>
        <v>10650808.255659647</v>
      </c>
      <c r="O20" s="309">
        <f t="shared" si="111"/>
        <v>0.48584144633236104</v>
      </c>
      <c r="P20" s="290">
        <f t="shared" si="61"/>
        <v>824413.00238096714</v>
      </c>
      <c r="Q20" s="18">
        <f t="shared" si="62"/>
        <v>388786.31915964745</v>
      </c>
      <c r="R20" s="310">
        <f t="shared" si="63"/>
        <v>-1.6015143080069016E-2</v>
      </c>
      <c r="V20" s="249">
        <f t="shared" si="64"/>
        <v>11</v>
      </c>
      <c r="W20" s="463" t="s">
        <v>134</v>
      </c>
      <c r="X20" s="20">
        <f>X18-X14</f>
        <v>4339928.5566414092</v>
      </c>
      <c r="Y20" s="20">
        <f t="shared" ref="Y20:AA20" si="123">Y18-Y14</f>
        <v>11933178.674839897</v>
      </c>
      <c r="Z20" s="20">
        <f t="shared" si="123"/>
        <v>23281194.163364671</v>
      </c>
      <c r="AA20" s="20">
        <f t="shared" si="123"/>
        <v>39554301.394845977</v>
      </c>
      <c r="AB20" s="20"/>
      <c r="AC20" s="349"/>
      <c r="AF20" s="385">
        <f t="shared" si="80"/>
        <v>14</v>
      </c>
      <c r="AG20" s="388" t="s">
        <v>186</v>
      </c>
      <c r="AH20" s="389">
        <f>AH19*3600/$N$24</f>
        <v>3.0694523728800589</v>
      </c>
      <c r="AI20" s="389">
        <f>AI19*3600/$N$24</f>
        <v>0.19273652493560511</v>
      </c>
      <c r="AJ20" s="389">
        <f>AJ19*3600/$N$24</f>
        <v>0.89891304051032128</v>
      </c>
      <c r="AL20" s="464"/>
      <c r="AN20" s="283">
        <f t="shared" si="121"/>
        <v>15</v>
      </c>
      <c r="AO20" s="284"/>
      <c r="AP20" s="282" t="s">
        <v>238</v>
      </c>
      <c r="AQ20" s="281"/>
      <c r="AR20" s="286"/>
      <c r="AS20" s="392">
        <v>8347158.8556000106</v>
      </c>
      <c r="AT20" s="393">
        <v>0.81397546749984451</v>
      </c>
      <c r="AU20" s="394"/>
      <c r="AV20" s="392">
        <v>7285795.8646500036</v>
      </c>
      <c r="AW20" s="393">
        <v>0.67512429859622292</v>
      </c>
      <c r="AX20" s="383">
        <f t="shared" si="96"/>
        <v>-0.17058397267193814</v>
      </c>
      <c r="AY20" s="394"/>
      <c r="AZ20" s="392">
        <v>9252422.5520105362</v>
      </c>
      <c r="BA20" s="393">
        <v>0.71716600089519644</v>
      </c>
      <c r="BB20" s="383">
        <f t="shared" si="97"/>
        <v>6.2272536163178183E-2</v>
      </c>
      <c r="BC20" s="394"/>
      <c r="BD20" s="392">
        <v>10915527.954034619</v>
      </c>
      <c r="BE20" s="393">
        <v>0.74224448966694945</v>
      </c>
      <c r="BF20" s="383">
        <f t="shared" si="98"/>
        <v>3.4968875742086292E-2</v>
      </c>
      <c r="BG20" s="394"/>
      <c r="BH20" s="392">
        <v>3838414.9907733351</v>
      </c>
      <c r="BI20" s="393">
        <v>0.25258689065096962</v>
      </c>
      <c r="BJ20" s="383">
        <f t="shared" si="99"/>
        <v>-0.65969853038005422</v>
      </c>
      <c r="BK20" s="394"/>
      <c r="BL20" s="392">
        <v>5658223.4029922634</v>
      </c>
      <c r="BM20" s="393">
        <v>0.33637236438364621</v>
      </c>
      <c r="BN20" s="383">
        <f t="shared" si="100"/>
        <v>0.33170951000958038</v>
      </c>
      <c r="BO20" s="394"/>
      <c r="BP20" s="392">
        <v>8558427.9676000625</v>
      </c>
      <c r="BQ20" s="393">
        <v>0.46142281150297859</v>
      </c>
      <c r="BR20" s="383">
        <f t="shared" si="101"/>
        <v>0.37176195300249848</v>
      </c>
      <c r="BS20" s="394"/>
      <c r="BT20" s="97">
        <v>12790093</v>
      </c>
      <c r="BU20" s="97">
        <v>0.65</v>
      </c>
      <c r="BV20" s="97">
        <f t="shared" si="102"/>
        <v>0.40868631501501773</v>
      </c>
      <c r="BW20" s="18">
        <v>16992816.141500026</v>
      </c>
      <c r="BX20" s="19">
        <v>0.87785804171546822</v>
      </c>
      <c r="BY20" s="19">
        <f t="shared" si="65"/>
        <v>0.35055083340841264</v>
      </c>
      <c r="BZ20" s="19">
        <v>13569776.854138836</v>
      </c>
      <c r="CA20" s="19">
        <v>0.66521868747413349</v>
      </c>
      <c r="CB20" s="19">
        <f t="shared" si="66"/>
        <v>-0.24222521653478857</v>
      </c>
      <c r="CC20" s="18">
        <f t="shared" si="122"/>
        <v>5345041.1556581408</v>
      </c>
      <c r="CD20" s="19">
        <f t="shared" si="122"/>
        <v>0.2571723426312264</v>
      </c>
      <c r="CE20" s="395">
        <f t="shared" si="104"/>
        <v>-0.61340180684381873</v>
      </c>
      <c r="CF20" s="396">
        <f>CC20/AS20-1</f>
        <v>-0.35965742977657411</v>
      </c>
      <c r="CG20" s="395">
        <f t="shared" si="105"/>
        <v>-2.4459886578234724E-2</v>
      </c>
      <c r="CX20" s="438"/>
      <c r="CY20" s="439"/>
      <c r="CZ20" s="440"/>
      <c r="DA20" s="518"/>
      <c r="DB20" s="440"/>
      <c r="EO20" s="408"/>
      <c r="FE20" s="408"/>
      <c r="FG20" s="483">
        <f t="shared" si="84"/>
        <v>15</v>
      </c>
      <c r="FH20" s="495"/>
      <c r="FI20" s="496" t="s">
        <v>239</v>
      </c>
      <c r="FJ20" s="28">
        <f>SUM(FJ7:FJ19)</f>
        <v>1380140.4319</v>
      </c>
      <c r="FK20" s="28">
        <f>SUM(FK7:FK19)</f>
        <v>2133149.0299999998</v>
      </c>
      <c r="FL20" s="28">
        <f>SUM(FL7:FL19)</f>
        <v>3585332.5999999996</v>
      </c>
      <c r="FM20" s="497">
        <f t="shared" si="28"/>
        <v>7098622.0618999992</v>
      </c>
      <c r="FN20" s="28">
        <v>1367749.0706878789</v>
      </c>
      <c r="FO20" s="28">
        <v>1957850.02</v>
      </c>
      <c r="FP20" s="28">
        <v>3562684.7899999996</v>
      </c>
      <c r="FQ20" s="28">
        <v>6888283.8806878785</v>
      </c>
      <c r="FR20" s="28">
        <v>6888283.8806878785</v>
      </c>
      <c r="FS20" s="103"/>
      <c r="FT20" s="408"/>
      <c r="GB20" s="355"/>
      <c r="GC20" s="355"/>
      <c r="GD20" s="355"/>
      <c r="GE20" s="355"/>
      <c r="HW20" s="283">
        <v>15</v>
      </c>
      <c r="HX20" s="306">
        <v>15</v>
      </c>
      <c r="HY20" s="306">
        <v>10</v>
      </c>
      <c r="HZ20" s="306">
        <v>10</v>
      </c>
      <c r="IA20" s="307">
        <v>149240972</v>
      </c>
      <c r="IB20" s="307">
        <v>147703472</v>
      </c>
      <c r="IC20" s="309">
        <f t="shared" si="5"/>
        <v>1</v>
      </c>
      <c r="ID20" s="309">
        <f t="shared" si="6"/>
        <v>0.98969786929557124</v>
      </c>
      <c r="IE20" s="310">
        <v>0</v>
      </c>
      <c r="IF20" s="310">
        <v>0.7</v>
      </c>
      <c r="IG20" s="310">
        <v>0.3</v>
      </c>
      <c r="IK20" s="410">
        <v>15</v>
      </c>
      <c r="IL20" s="317">
        <v>15</v>
      </c>
      <c r="IM20" s="313">
        <f t="shared" si="7"/>
        <v>0.98969786929557124</v>
      </c>
      <c r="IN20" s="17">
        <v>41766.03</v>
      </c>
      <c r="IO20" s="290">
        <f>IM20*IN20</f>
        <v>41335.750899934908</v>
      </c>
      <c r="IP20" s="17">
        <v>16519827</v>
      </c>
      <c r="IQ20" s="290">
        <v>16334685</v>
      </c>
      <c r="IR20" s="17">
        <v>7053332.9710000008</v>
      </c>
      <c r="IS20" s="290">
        <v>6877204</v>
      </c>
      <c r="IT20" s="17">
        <v>225000</v>
      </c>
      <c r="IU20" s="17">
        <v>225000</v>
      </c>
      <c r="IV20" s="17">
        <f t="shared" si="30"/>
        <v>7320099.0010000011</v>
      </c>
      <c r="IW20" s="17">
        <f t="shared" si="30"/>
        <v>7143539.7508999351</v>
      </c>
      <c r="IX20" s="314"/>
      <c r="IY20" s="315"/>
      <c r="IZ20" s="314"/>
      <c r="JA20" s="316">
        <v>15</v>
      </c>
      <c r="JB20" s="317">
        <v>15</v>
      </c>
      <c r="JC20" s="318">
        <f t="shared" si="8"/>
        <v>1</v>
      </c>
      <c r="JD20" s="319">
        <f t="shared" si="8"/>
        <v>0.98969786929557124</v>
      </c>
      <c r="JE20" s="17">
        <v>2666481.7718156227</v>
      </c>
      <c r="JF20" s="290">
        <f t="shared" si="70"/>
        <v>2639011.3280814015</v>
      </c>
      <c r="JG20" s="17">
        <v>12386.502</v>
      </c>
      <c r="JH20" s="290">
        <f t="shared" si="31"/>
        <v>12258.894637425332</v>
      </c>
      <c r="JI20" s="17">
        <v>1393972.8261843773</v>
      </c>
      <c r="JJ20" s="290">
        <f t="shared" si="32"/>
        <v>1393972.8261843773</v>
      </c>
      <c r="JK20" s="17">
        <v>1404302.105180813</v>
      </c>
      <c r="JL20" s="290">
        <v>1404302.105180813</v>
      </c>
      <c r="JM20" s="17">
        <v>114885.56999999998</v>
      </c>
      <c r="JN20" s="290">
        <f t="shared" si="33"/>
        <v>113702.00384180718</v>
      </c>
      <c r="JO20" s="17">
        <v>58294.29</v>
      </c>
      <c r="JP20" s="290">
        <f t="shared" si="34"/>
        <v>57693.734605098129</v>
      </c>
      <c r="JQ20" s="17">
        <v>404259.63</v>
      </c>
      <c r="JR20" s="290">
        <f t="shared" si="35"/>
        <v>400094.89445321599</v>
      </c>
      <c r="JS20" s="17">
        <v>619509.42179999989</v>
      </c>
      <c r="JT20" s="290">
        <f t="shared" si="36"/>
        <v>613127.15476399125</v>
      </c>
      <c r="JU20" s="17">
        <f t="shared" si="37"/>
        <v>6674092.1169808125</v>
      </c>
      <c r="JV20" s="17">
        <f t="shared" si="37"/>
        <v>6634162.9417481301</v>
      </c>
      <c r="JW20" s="320">
        <f t="shared" si="9"/>
        <v>4.4915416353571764</v>
      </c>
      <c r="KA20" s="283">
        <v>15</v>
      </c>
      <c r="KB20" s="306">
        <v>15</v>
      </c>
      <c r="KC20" s="97">
        <f t="shared" si="10"/>
        <v>10</v>
      </c>
      <c r="KD20" s="390">
        <f>KC20</f>
        <v>10</v>
      </c>
      <c r="KE20" s="289">
        <f t="shared" si="12"/>
        <v>147703472</v>
      </c>
      <c r="KF20" s="289">
        <f t="shared" si="13"/>
        <v>153279106.05876467</v>
      </c>
      <c r="KG20" s="321">
        <f t="shared" si="38"/>
        <v>1</v>
      </c>
      <c r="KH20" s="321">
        <f t="shared" si="39"/>
        <v>1.0377488354421667</v>
      </c>
      <c r="KI20" s="321">
        <f t="shared" si="40"/>
        <v>0.96518407308497312</v>
      </c>
      <c r="KJ20" s="306" t="s">
        <v>256</v>
      </c>
      <c r="KK20" s="322"/>
      <c r="KL20" s="323"/>
      <c r="KM20" s="322"/>
      <c r="KN20" s="283">
        <v>15</v>
      </c>
      <c r="KO20" s="306">
        <v>15</v>
      </c>
      <c r="KP20" s="324" t="str">
        <f t="shared" si="14"/>
        <v>Q3</v>
      </c>
      <c r="KQ20" s="325">
        <f t="shared" si="15"/>
        <v>0.96518407308497312</v>
      </c>
      <c r="KR20" s="17">
        <f t="shared" si="41"/>
        <v>41335.750899934908</v>
      </c>
      <c r="KS20" s="17">
        <f t="shared" si="42"/>
        <v>39896.608417625015</v>
      </c>
      <c r="KT20" s="17">
        <f t="shared" si="16"/>
        <v>16334685</v>
      </c>
      <c r="KU20" s="17">
        <f t="shared" si="43"/>
        <v>16771202.654658146</v>
      </c>
      <c r="KV20" s="17">
        <f t="shared" si="17"/>
        <v>6877204</v>
      </c>
      <c r="KW20" s="17">
        <f t="shared" si="18"/>
        <v>9206513.6743502282</v>
      </c>
      <c r="KX20" s="17">
        <f t="shared" si="44"/>
        <v>225000</v>
      </c>
      <c r="KY20" s="17">
        <f t="shared" si="45"/>
        <v>332739.29523731803</v>
      </c>
      <c r="KZ20" s="17">
        <f t="shared" si="46"/>
        <v>7143539.7508999351</v>
      </c>
      <c r="LA20" s="17">
        <f t="shared" si="46"/>
        <v>9579149.5780051704</v>
      </c>
      <c r="LB20" s="326"/>
      <c r="LC20" s="323"/>
      <c r="LD20" s="322"/>
      <c r="LE20" s="364">
        <f t="shared" si="71"/>
        <v>15</v>
      </c>
      <c r="LF20" s="365">
        <v>14</v>
      </c>
      <c r="LG20" s="411">
        <f t="shared" si="72"/>
        <v>1</v>
      </c>
      <c r="LH20" s="411">
        <f t="shared" si="72"/>
        <v>1.0377488354421667</v>
      </c>
      <c r="LI20" s="412">
        <v>106.45762205358784</v>
      </c>
      <c r="LJ20" s="343">
        <f t="shared" si="73"/>
        <v>2986021.9474608074</v>
      </c>
      <c r="LK20" s="412">
        <v>106.45762205358784</v>
      </c>
      <c r="LL20" s="343">
        <f t="shared" si="47"/>
        <v>73352.098128040612</v>
      </c>
      <c r="LM20" s="412">
        <v>106.45762205358784</v>
      </c>
      <c r="LN20" s="343">
        <f t="shared" si="48"/>
        <v>1014636.7710911277</v>
      </c>
      <c r="LO20" s="412">
        <v>118.614283549666</v>
      </c>
      <c r="LP20" s="343">
        <f t="shared" si="74"/>
        <v>1625085.1935854214</v>
      </c>
      <c r="LQ20" s="412">
        <v>119.48337591187899</v>
      </c>
      <c r="LR20" s="343">
        <f t="shared" si="49"/>
        <v>171287.06880920849</v>
      </c>
      <c r="LS20" s="412">
        <v>157.07111615098</v>
      </c>
      <c r="LT20" s="343">
        <f t="shared" si="50"/>
        <v>74973.171048814213</v>
      </c>
      <c r="LU20" s="412">
        <v>112.15574935818501</v>
      </c>
      <c r="LV20" s="343">
        <f t="shared" si="51"/>
        <v>458278.85206832824</v>
      </c>
      <c r="LW20" s="412">
        <v>116.939890710382</v>
      </c>
      <c r="LX20" s="343">
        <f t="shared" si="52"/>
        <v>696926.34276558261</v>
      </c>
      <c r="LY20" s="20">
        <f t="shared" si="53"/>
        <v>7347590.0960875181</v>
      </c>
      <c r="LZ20" s="20">
        <f t="shared" si="75"/>
        <v>7100561.4449573308</v>
      </c>
      <c r="MA20" s="103"/>
      <c r="MB20" s="335"/>
      <c r="MD20" s="283">
        <v>15</v>
      </c>
      <c r="ME20" s="336">
        <v>15</v>
      </c>
      <c r="MF20" s="17">
        <f t="shared" si="19"/>
        <v>7320099.0010000011</v>
      </c>
      <c r="MG20" s="17">
        <f t="shared" si="19"/>
        <v>7143539.7508999351</v>
      </c>
      <c r="MH20" s="290">
        <f t="shared" si="20"/>
        <v>9579149.5780051704</v>
      </c>
      <c r="MI20" s="17">
        <f t="shared" si="21"/>
        <v>6674092.1169808125</v>
      </c>
      <c r="MJ20" s="17">
        <f t="shared" si="21"/>
        <v>6634162.9417481301</v>
      </c>
      <c r="MK20" s="290">
        <f t="shared" si="54"/>
        <v>6403188.4096258478</v>
      </c>
      <c r="ML20" s="17">
        <f t="shared" si="55"/>
        <v>646006.88401918858</v>
      </c>
      <c r="MM20" s="17">
        <f t="shared" si="55"/>
        <v>509376.80915180501</v>
      </c>
      <c r="MN20" s="17">
        <f t="shared" si="55"/>
        <v>3175961.1683793226</v>
      </c>
      <c r="MX20" s="446">
        <f t="shared" si="85"/>
        <v>14</v>
      </c>
      <c r="MY20" s="418" t="s">
        <v>54</v>
      </c>
      <c r="MZ20" s="24">
        <f t="shared" si="115"/>
        <v>10650808.255659647</v>
      </c>
      <c r="NA20" s="472">
        <f t="shared" si="116"/>
        <v>0.48584144633236104</v>
      </c>
      <c r="NB20" s="453"/>
      <c r="NC20" s="22">
        <f t="shared" si="117"/>
        <v>10650808.255659647</v>
      </c>
      <c r="ND20" s="472">
        <f t="shared" si="118"/>
        <v>0.48584144633236104</v>
      </c>
      <c r="NH20" s="446">
        <f t="shared" si="86"/>
        <v>14</v>
      </c>
      <c r="NI20" s="418" t="str">
        <f t="shared" si="58"/>
        <v>Overhead</v>
      </c>
      <c r="NJ20" s="24">
        <v>11416166.846978595</v>
      </c>
      <c r="NK20" s="24">
        <f t="shared" si="119"/>
        <v>10650808.255659647</v>
      </c>
      <c r="NL20" s="24">
        <f t="shared" si="77"/>
        <v>-765358.59131894819</v>
      </c>
      <c r="NM20" s="473">
        <f t="shared" si="78"/>
        <v>-6.704164380021374E-2</v>
      </c>
    </row>
    <row r="21" spans="2:377" ht="17.25" thickBot="1" x14ac:dyDescent="0.35">
      <c r="B21" s="226">
        <f t="shared" si="79"/>
        <v>16</v>
      </c>
      <c r="C21" s="474" t="s">
        <v>240</v>
      </c>
      <c r="D21" s="474"/>
      <c r="E21" s="476"/>
      <c r="F21" s="498">
        <f>SUM(F14:F20)</f>
        <v>99050498.270499989</v>
      </c>
      <c r="G21" s="499">
        <f t="shared" si="108"/>
        <v>4.7657348067469085</v>
      </c>
      <c r="H21" s="498">
        <f>SUM(H14:H20)</f>
        <v>94716912.471479237</v>
      </c>
      <c r="I21" s="500">
        <f t="shared" si="109"/>
        <v>4.5462780754591217</v>
      </c>
      <c r="J21" s="501">
        <f t="shared" si="59"/>
        <v>-4333585.7990207523</v>
      </c>
      <c r="K21" s="498">
        <f>SUM(K14:K20)</f>
        <v>96946557.618657649</v>
      </c>
      <c r="L21" s="500">
        <f t="shared" si="110"/>
        <v>4.5891963784357532</v>
      </c>
      <c r="M21" s="501">
        <f t="shared" si="60"/>
        <v>2229645.1471784115</v>
      </c>
      <c r="N21" s="498">
        <f>SUM(N14:N20)</f>
        <v>94101802.743402898</v>
      </c>
      <c r="O21" s="500">
        <f t="shared" si="111"/>
        <v>4.2924963861820906</v>
      </c>
      <c r="P21" s="501">
        <f t="shared" si="61"/>
        <v>-2844754.8752547503</v>
      </c>
      <c r="Q21" s="498">
        <f t="shared" si="62"/>
        <v>-4948695.5270970911</v>
      </c>
      <c r="R21" s="502">
        <f t="shared" si="63"/>
        <v>-9.930020023246966E-2</v>
      </c>
      <c r="V21" s="275"/>
      <c r="W21" s="276" t="s">
        <v>29</v>
      </c>
      <c r="X21" s="415"/>
      <c r="Y21" s="416"/>
      <c r="Z21" s="416"/>
      <c r="AA21" s="416"/>
      <c r="AB21" s="279"/>
      <c r="AC21" s="351"/>
      <c r="AF21" s="503">
        <f t="shared" si="80"/>
        <v>15</v>
      </c>
      <c r="AG21" s="504" t="s">
        <v>195</v>
      </c>
      <c r="AH21" s="505">
        <f>LJ27/AH19</f>
        <v>18.126229971500372</v>
      </c>
      <c r="AI21" s="505">
        <f>LL27/AI19</f>
        <v>17.291242088657377</v>
      </c>
      <c r="AJ21" s="505">
        <f>LN27/AJ19</f>
        <v>28.701600342097091</v>
      </c>
      <c r="AL21" s="464"/>
      <c r="AN21" s="977" t="s">
        <v>241</v>
      </c>
      <c r="AO21" s="977"/>
      <c r="AP21" s="977"/>
      <c r="AQ21" s="977"/>
      <c r="AR21" s="977"/>
      <c r="AS21" s="977"/>
      <c r="AT21" s="977"/>
      <c r="AU21" s="977"/>
      <c r="AV21" s="977"/>
      <c r="AW21" s="977"/>
      <c r="AX21" s="977"/>
      <c r="AY21" s="977"/>
      <c r="AZ21" s="977"/>
      <c r="BA21" s="977"/>
      <c r="BB21" s="977"/>
      <c r="BC21" s="977"/>
      <c r="BD21" s="977"/>
      <c r="BE21" s="977"/>
      <c r="BF21" s="977"/>
      <c r="BG21" s="977"/>
      <c r="BH21" s="977"/>
      <c r="BI21" s="977"/>
      <c r="BJ21" s="977"/>
      <c r="BK21" s="977"/>
      <c r="BL21" s="977"/>
      <c r="BM21" s="977"/>
      <c r="BN21" s="977"/>
      <c r="BO21" s="977"/>
      <c r="BP21" s="977"/>
      <c r="BQ21" s="977"/>
      <c r="BR21" s="977"/>
      <c r="BS21" s="977"/>
      <c r="BT21" s="977"/>
      <c r="BU21" s="977"/>
      <c r="BV21" s="977"/>
      <c r="BW21" s="977"/>
      <c r="BX21" s="977"/>
      <c r="BY21" s="977"/>
      <c r="BZ21" s="977"/>
      <c r="CA21" s="977"/>
      <c r="CB21" s="977"/>
      <c r="CC21" s="977"/>
      <c r="CD21" s="977"/>
      <c r="CE21" s="977"/>
      <c r="CF21" s="977"/>
      <c r="CG21" s="977"/>
      <c r="CX21" s="438"/>
      <c r="CY21" s="91"/>
      <c r="CZ21" s="506"/>
      <c r="DA21" s="518"/>
      <c r="DB21" s="506"/>
      <c r="EO21" s="408"/>
      <c r="FE21" s="408"/>
      <c r="FG21" s="338">
        <f t="shared" si="84"/>
        <v>16</v>
      </c>
      <c r="FH21" s="474" t="s">
        <v>242</v>
      </c>
      <c r="FI21" s="476"/>
      <c r="FJ21" s="507"/>
      <c r="FK21" s="507"/>
      <c r="FL21" s="507"/>
      <c r="FM21" s="508"/>
      <c r="FN21" s="507"/>
      <c r="FO21" s="507"/>
      <c r="FP21" s="507"/>
      <c r="FQ21" s="507"/>
      <c r="FR21" s="507"/>
      <c r="FS21" s="103"/>
      <c r="FT21" s="408"/>
      <c r="HW21" s="338">
        <v>16</v>
      </c>
      <c r="HX21" s="322">
        <v>16</v>
      </c>
      <c r="HY21" s="322">
        <v>11</v>
      </c>
      <c r="HZ21" s="322">
        <v>11</v>
      </c>
      <c r="IA21" s="347">
        <v>176731631</v>
      </c>
      <c r="IB21" s="347">
        <v>176378863</v>
      </c>
      <c r="IC21" s="342">
        <f t="shared" si="5"/>
        <v>1</v>
      </c>
      <c r="ID21" s="342">
        <f t="shared" si="6"/>
        <v>0.99800393399866261</v>
      </c>
      <c r="IE21" s="344">
        <v>0</v>
      </c>
      <c r="IF21" s="344">
        <v>0.27272727272727271</v>
      </c>
      <c r="IG21" s="344">
        <v>0.72727272727272729</v>
      </c>
      <c r="IK21" s="364">
        <v>16</v>
      </c>
      <c r="IL21" s="365">
        <v>16</v>
      </c>
      <c r="IM21" s="341">
        <f t="shared" si="7"/>
        <v>0.99800393399866261</v>
      </c>
      <c r="IN21" s="20">
        <v>37428.76</v>
      </c>
      <c r="IO21" s="343">
        <f t="shared" si="29"/>
        <v>37354.049724691788</v>
      </c>
      <c r="IP21" s="20">
        <v>19638600</v>
      </c>
      <c r="IQ21" s="343">
        <v>19576608</v>
      </c>
      <c r="IR21" s="20">
        <v>8489478.1173999999</v>
      </c>
      <c r="IS21" s="343">
        <v>7937779</v>
      </c>
      <c r="IT21" s="20">
        <v>247500</v>
      </c>
      <c r="IU21" s="20">
        <v>247500</v>
      </c>
      <c r="IV21" s="20">
        <f t="shared" si="30"/>
        <v>8774406.8773999996</v>
      </c>
      <c r="IW21" s="20">
        <f t="shared" si="30"/>
        <v>8222633.0497246915</v>
      </c>
      <c r="IX21" s="314"/>
      <c r="IY21" s="315"/>
      <c r="IZ21" s="314"/>
      <c r="JA21" s="366">
        <v>16</v>
      </c>
      <c r="JB21" s="365">
        <v>16</v>
      </c>
      <c r="JC21" s="367">
        <f t="shared" si="8"/>
        <v>1</v>
      </c>
      <c r="JD21" s="368">
        <f t="shared" si="8"/>
        <v>0.99800393399866261</v>
      </c>
      <c r="JE21" s="20">
        <v>2972031.7157168714</v>
      </c>
      <c r="JF21" s="343">
        <f t="shared" si="70"/>
        <v>2966099.3442542325</v>
      </c>
      <c r="JG21" s="20">
        <v>123156.16099999999</v>
      </c>
      <c r="JH21" s="343">
        <f t="shared" si="31"/>
        <v>122910.33317417266</v>
      </c>
      <c r="JI21" s="20">
        <v>1606050.4232831288</v>
      </c>
      <c r="JJ21" s="343">
        <f t="shared" si="32"/>
        <v>1606050.4232831288</v>
      </c>
      <c r="JK21" s="20">
        <v>1758443.1926842947</v>
      </c>
      <c r="JL21" s="343">
        <v>1758443.1926842947</v>
      </c>
      <c r="JM21" s="20">
        <v>110720.24800000001</v>
      </c>
      <c r="JN21" s="343">
        <f t="shared" si="33"/>
        <v>110499.24307730756</v>
      </c>
      <c r="JO21" s="20">
        <v>56992.322</v>
      </c>
      <c r="JP21" s="343">
        <f t="shared" si="34"/>
        <v>56878.561563718526</v>
      </c>
      <c r="JQ21" s="20">
        <v>523193.18</v>
      </c>
      <c r="JR21" s="343">
        <f t="shared" si="35"/>
        <v>522148.85188127041</v>
      </c>
      <c r="JS21" s="20">
        <v>717971.55015000002</v>
      </c>
      <c r="JT21" s="343">
        <f t="shared" si="36"/>
        <v>716538.43154881813</v>
      </c>
      <c r="JU21" s="20">
        <f t="shared" si="37"/>
        <v>7868558.792834294</v>
      </c>
      <c r="JV21" s="20">
        <f t="shared" si="37"/>
        <v>7859568.3814669428</v>
      </c>
      <c r="JW21" s="369">
        <f t="shared" si="9"/>
        <v>4.4560715767098147</v>
      </c>
      <c r="KA21" s="338">
        <v>16</v>
      </c>
      <c r="KB21" s="322">
        <v>16</v>
      </c>
      <c r="KC21" s="518">
        <f t="shared" si="10"/>
        <v>11</v>
      </c>
      <c r="KD21" s="96">
        <f>KC21</f>
        <v>11</v>
      </c>
      <c r="KE21" s="370">
        <f t="shared" si="12"/>
        <v>176378863</v>
      </c>
      <c r="KF21" s="370">
        <f t="shared" si="13"/>
        <v>183036959.67486346</v>
      </c>
      <c r="KG21" s="371">
        <f t="shared" si="38"/>
        <v>1</v>
      </c>
      <c r="KH21" s="371">
        <f t="shared" si="39"/>
        <v>1.0377488354421667</v>
      </c>
      <c r="KI21" s="371">
        <f t="shared" si="40"/>
        <v>0.93569802533896251</v>
      </c>
      <c r="KJ21" s="322" t="s">
        <v>441</v>
      </c>
      <c r="KK21" s="322"/>
      <c r="KL21" s="323"/>
      <c r="KM21" s="322"/>
      <c r="KN21" s="338">
        <v>16</v>
      </c>
      <c r="KO21" s="322">
        <v>16</v>
      </c>
      <c r="KP21" s="437" t="str">
        <f t="shared" si="14"/>
        <v>Q2</v>
      </c>
      <c r="KQ21" s="373">
        <f t="shared" si="15"/>
        <v>0.93569802533896251</v>
      </c>
      <c r="KR21" s="358">
        <f t="shared" si="41"/>
        <v>37354.049724691788</v>
      </c>
      <c r="KS21" s="358">
        <f t="shared" si="42"/>
        <v>34952.110565807525</v>
      </c>
      <c r="KT21" s="358">
        <f t="shared" si="16"/>
        <v>19576608</v>
      </c>
      <c r="KU21" s="358">
        <f t="shared" si="43"/>
        <v>20027191.069490805</v>
      </c>
      <c r="KV21" s="358">
        <f t="shared" si="17"/>
        <v>7937779</v>
      </c>
      <c r="KW21" s="358">
        <f t="shared" si="18"/>
        <v>10993881.132840568</v>
      </c>
      <c r="KX21" s="358">
        <f t="shared" si="44"/>
        <v>247500</v>
      </c>
      <c r="KY21" s="358">
        <f t="shared" si="45"/>
        <v>397337.84030059539</v>
      </c>
      <c r="KZ21" s="358">
        <f t="shared" si="46"/>
        <v>8222633.0497246915</v>
      </c>
      <c r="LA21" s="358">
        <f t="shared" si="46"/>
        <v>11426171.083706971</v>
      </c>
      <c r="LB21" s="326"/>
      <c r="LC21" s="323"/>
      <c r="LD21" s="322"/>
      <c r="LE21" s="374">
        <f t="shared" si="71"/>
        <v>16</v>
      </c>
      <c r="LF21" s="375">
        <v>15</v>
      </c>
      <c r="LG21" s="376">
        <f t="shared" si="72"/>
        <v>1</v>
      </c>
      <c r="LH21" s="376">
        <f t="shared" si="72"/>
        <v>1.0377488354421667</v>
      </c>
      <c r="LI21" s="377">
        <v>106.45762205358784</v>
      </c>
      <c r="LJ21" s="290">
        <f t="shared" si="73"/>
        <v>2415505.0925140632</v>
      </c>
      <c r="LK21" s="377">
        <v>106.45762205358784</v>
      </c>
      <c r="LL21" s="290">
        <f t="shared" si="47"/>
        <v>11220.649987441377</v>
      </c>
      <c r="LM21" s="377">
        <v>106.45762205358784</v>
      </c>
      <c r="LN21" s="290">
        <f t="shared" si="48"/>
        <v>1229500.631353986</v>
      </c>
      <c r="LO21" s="377">
        <v>118.614283549666</v>
      </c>
      <c r="LP21" s="290">
        <f t="shared" si="74"/>
        <v>1468932.6274243365</v>
      </c>
      <c r="LQ21" s="377">
        <v>119.48337591187899</v>
      </c>
      <c r="LR21" s="290">
        <f t="shared" si="49"/>
        <v>123361.52038645174</v>
      </c>
      <c r="LS21" s="377">
        <v>157.07111615098</v>
      </c>
      <c r="LT21" s="290">
        <f t="shared" si="50"/>
        <v>54437.319426948197</v>
      </c>
      <c r="LU21" s="377">
        <v>112.15574935818501</v>
      </c>
      <c r="LV21" s="290">
        <f t="shared" si="51"/>
        <v>436491.14110322803</v>
      </c>
      <c r="LW21" s="377">
        <v>116.939890710382</v>
      </c>
      <c r="LX21" s="378">
        <f t="shared" si="52"/>
        <v>663739.42742939258</v>
      </c>
      <c r="LY21" s="379">
        <f t="shared" si="53"/>
        <v>6634162.9417481301</v>
      </c>
      <c r="LZ21" s="379">
        <f t="shared" si="75"/>
        <v>6403188.4096258478</v>
      </c>
      <c r="MA21" s="103"/>
      <c r="MB21" s="335"/>
      <c r="MD21" s="338">
        <v>16</v>
      </c>
      <c r="ME21" s="380">
        <v>16</v>
      </c>
      <c r="MF21" s="20">
        <f t="shared" si="19"/>
        <v>8774406.8773999996</v>
      </c>
      <c r="MG21" s="20">
        <f t="shared" si="19"/>
        <v>8222633.0497246915</v>
      </c>
      <c r="MH21" s="343">
        <f t="shared" si="20"/>
        <v>11426171.083706971</v>
      </c>
      <c r="MI21" s="20">
        <f t="shared" si="21"/>
        <v>7868558.792834294</v>
      </c>
      <c r="MJ21" s="20">
        <f t="shared" si="21"/>
        <v>7859568.3814669428</v>
      </c>
      <c r="MK21" s="343">
        <f t="shared" si="54"/>
        <v>7354182.6145551642</v>
      </c>
      <c r="ML21" s="20">
        <f t="shared" si="55"/>
        <v>905848.08456570562</v>
      </c>
      <c r="MM21" s="20">
        <f t="shared" si="55"/>
        <v>363064.66825774871</v>
      </c>
      <c r="MN21" s="20">
        <f t="shared" si="55"/>
        <v>4071988.469151807</v>
      </c>
      <c r="MX21" s="283">
        <f t="shared" si="85"/>
        <v>15</v>
      </c>
      <c r="MY21" s="285" t="s">
        <v>60</v>
      </c>
      <c r="MZ21" s="28">
        <f t="shared" si="115"/>
        <v>94101802.743402898</v>
      </c>
      <c r="NA21" s="509">
        <f t="shared" si="116"/>
        <v>4.2924963861820906</v>
      </c>
      <c r="NB21" s="285"/>
      <c r="NC21" s="510">
        <f>SUM(NC14:NC20)</f>
        <v>94101802.743402898</v>
      </c>
      <c r="ND21" s="509">
        <f t="shared" si="118"/>
        <v>4.2924963861820906</v>
      </c>
      <c r="NH21" s="283">
        <f t="shared" si="86"/>
        <v>15</v>
      </c>
      <c r="NI21" s="285" t="str">
        <f t="shared" si="58"/>
        <v>Total Operating Expenses</v>
      </c>
      <c r="NJ21" s="28">
        <v>117795882.44673061</v>
      </c>
      <c r="NK21" s="511">
        <f t="shared" si="119"/>
        <v>94101802.743402898</v>
      </c>
      <c r="NL21" s="511">
        <f t="shared" si="77"/>
        <v>-23694079.703327715</v>
      </c>
      <c r="NM21" s="466">
        <f t="shared" si="78"/>
        <v>-0.20114522860374681</v>
      </c>
    </row>
    <row r="22" spans="2:377" x14ac:dyDescent="0.3">
      <c r="B22" s="265">
        <f t="shared" si="79"/>
        <v>17</v>
      </c>
      <c r="C22" s="285" t="s">
        <v>238</v>
      </c>
      <c r="D22" s="285"/>
      <c r="E22" s="297"/>
      <c r="F22" s="510">
        <f>F12-F21</f>
        <v>5345041.1556581408</v>
      </c>
      <c r="G22" s="512">
        <f t="shared" si="108"/>
        <v>0.2571723426312264</v>
      </c>
      <c r="H22" s="510">
        <f>H12-H21</f>
        <v>3158874.550727129</v>
      </c>
      <c r="I22" s="513">
        <f t="shared" si="109"/>
        <v>0.15162151867461782</v>
      </c>
      <c r="J22" s="497">
        <f t="shared" si="59"/>
        <v>-2186166.6049310118</v>
      </c>
      <c r="K22" s="510">
        <f>K12-K21</f>
        <v>2982698.3570908159</v>
      </c>
      <c r="L22" s="513">
        <f t="shared" si="110"/>
        <v>0.14119313603862413</v>
      </c>
      <c r="M22" s="497">
        <f t="shared" si="60"/>
        <v>-176176.19363631308</v>
      </c>
      <c r="N22" s="510">
        <f>N12-N21</f>
        <v>42536999.751936734</v>
      </c>
      <c r="O22" s="513">
        <f t="shared" si="111"/>
        <v>1.9403445246644602</v>
      </c>
      <c r="P22" s="497">
        <f t="shared" si="61"/>
        <v>39554301.394845918</v>
      </c>
      <c r="Q22" s="510">
        <f t="shared" si="62"/>
        <v>37191958.596278593</v>
      </c>
      <c r="R22" s="514">
        <f t="shared" si="63"/>
        <v>6.5449191184871198</v>
      </c>
      <c r="V22" s="515">
        <v>11</v>
      </c>
      <c r="W22" s="516" t="s">
        <v>243</v>
      </c>
      <c r="X22" s="20">
        <f>X18-X7</f>
        <v>2598500.146360198</v>
      </c>
      <c r="Y22" s="20">
        <f>Y18-Y7</f>
        <v>11260154.918005843</v>
      </c>
      <c r="Z22" s="20">
        <f>Z18-Z7</f>
        <v>23333303.531912681</v>
      </c>
      <c r="AA22" s="20">
        <f>AA18-AA7</f>
        <v>37191958.59627872</v>
      </c>
      <c r="AB22" s="20"/>
      <c r="AL22" s="464"/>
      <c r="AN22" s="338">
        <v>18</v>
      </c>
      <c r="AO22" s="492"/>
      <c r="AP22" s="493" t="s">
        <v>244</v>
      </c>
      <c r="AQ22" s="475"/>
      <c r="AR22" s="352"/>
      <c r="AS22" s="517"/>
      <c r="AT22" s="349">
        <v>1025480397</v>
      </c>
      <c r="AU22" s="351"/>
      <c r="AV22" s="517"/>
      <c r="AW22" s="349">
        <v>1079178438.6666701</v>
      </c>
      <c r="AX22" s="351"/>
      <c r="AY22" s="350"/>
      <c r="AZ22" s="517"/>
      <c r="BA22" s="349">
        <v>1290136807.9999998</v>
      </c>
      <c r="BB22" s="351"/>
      <c r="BC22" s="350"/>
      <c r="BD22" s="517"/>
      <c r="BE22" s="349">
        <v>1470610844</v>
      </c>
      <c r="BF22" s="351"/>
      <c r="BG22" s="350"/>
      <c r="BH22" s="517"/>
      <c r="BI22" s="349">
        <v>1519641411.6666667</v>
      </c>
      <c r="BJ22" s="351"/>
      <c r="BK22" s="350"/>
      <c r="BL22" s="517"/>
      <c r="BM22" s="349">
        <v>1682130877</v>
      </c>
      <c r="BN22" s="351"/>
      <c r="BO22" s="350"/>
      <c r="BP22" s="517"/>
      <c r="BQ22" s="349">
        <v>1854790824</v>
      </c>
      <c r="BR22" s="351"/>
      <c r="BS22" s="350"/>
      <c r="BT22" s="959">
        <v>1962055288</v>
      </c>
      <c r="BU22" s="959"/>
      <c r="BV22" s="960"/>
      <c r="BW22" s="519"/>
      <c r="BZ22" s="520"/>
      <c r="CA22" s="352"/>
      <c r="CC22" s="521">
        <f>F24</f>
        <v>2078388796</v>
      </c>
      <c r="CD22" s="16"/>
      <c r="CE22" s="352"/>
      <c r="CF22" s="520">
        <f>CC22/AT22-1</f>
        <v>1.0267464907961572</v>
      </c>
      <c r="CG22" s="352">
        <f t="shared" si="105"/>
        <v>4.0026517835208386E-2</v>
      </c>
      <c r="CZ22" s="347"/>
      <c r="DB22" s="347"/>
      <c r="DC22" s="103"/>
      <c r="DD22" s="103"/>
      <c r="EO22" s="106"/>
      <c r="FE22" s="106"/>
      <c r="FG22" s="338">
        <f>FG21+1</f>
        <v>17</v>
      </c>
      <c r="FH22" s="97"/>
      <c r="FI22" s="286" t="s">
        <v>245</v>
      </c>
      <c r="FJ22" s="17">
        <v>400</v>
      </c>
      <c r="FK22" s="17">
        <v>2406.81</v>
      </c>
      <c r="FL22" s="17">
        <v>2800</v>
      </c>
      <c r="FM22" s="290">
        <f>FJ22+FL22+FK22</f>
        <v>5606.8099999999995</v>
      </c>
      <c r="FN22" s="17">
        <v>0</v>
      </c>
      <c r="FO22" s="17">
        <v>0</v>
      </c>
      <c r="FP22" s="17">
        <v>0</v>
      </c>
      <c r="FQ22" s="17">
        <v>0</v>
      </c>
      <c r="FR22" s="17">
        <v>0</v>
      </c>
      <c r="FS22" s="103"/>
      <c r="FT22" s="408"/>
      <c r="HW22" s="283">
        <v>17</v>
      </c>
      <c r="HX22" s="306">
        <v>17</v>
      </c>
      <c r="HY22" s="306">
        <v>10</v>
      </c>
      <c r="HZ22" s="306">
        <v>10</v>
      </c>
      <c r="IA22" s="307">
        <v>183774613</v>
      </c>
      <c r="IB22" s="307">
        <v>183737150</v>
      </c>
      <c r="IC22" s="309">
        <f t="shared" si="5"/>
        <v>1</v>
      </c>
      <c r="ID22" s="309">
        <f t="shared" si="6"/>
        <v>0.99979614703364927</v>
      </c>
      <c r="IE22" s="310">
        <v>0</v>
      </c>
      <c r="IF22" s="310">
        <v>0.2</v>
      </c>
      <c r="IG22" s="310">
        <v>0.8</v>
      </c>
      <c r="IK22" s="410">
        <v>17</v>
      </c>
      <c r="IL22" s="317">
        <v>17</v>
      </c>
      <c r="IM22" s="313">
        <f t="shared" si="7"/>
        <v>0.99979614703364927</v>
      </c>
      <c r="IN22" s="17">
        <v>7831.14</v>
      </c>
      <c r="IO22" s="290">
        <f t="shared" si="29"/>
        <v>7829.5435988810923</v>
      </c>
      <c r="IP22" s="17">
        <v>20395998</v>
      </c>
      <c r="IQ22" s="290">
        <v>20373895</v>
      </c>
      <c r="IR22" s="17">
        <v>8616753.1788999997</v>
      </c>
      <c r="IS22" s="290">
        <v>8578324</v>
      </c>
      <c r="IT22" s="17">
        <v>225000</v>
      </c>
      <c r="IU22" s="17">
        <v>225000</v>
      </c>
      <c r="IV22" s="17">
        <f t="shared" si="30"/>
        <v>8849584.3189000003</v>
      </c>
      <c r="IW22" s="17">
        <f t="shared" si="30"/>
        <v>8811153.543598881</v>
      </c>
      <c r="IX22" s="314"/>
      <c r="IY22" s="315"/>
      <c r="IZ22" s="314"/>
      <c r="JA22" s="316">
        <v>17</v>
      </c>
      <c r="JB22" s="317">
        <v>17</v>
      </c>
      <c r="JC22" s="318">
        <f t="shared" si="8"/>
        <v>1</v>
      </c>
      <c r="JD22" s="319">
        <f t="shared" si="8"/>
        <v>0.99979614703364927</v>
      </c>
      <c r="JE22" s="17">
        <v>3071493.5962138455</v>
      </c>
      <c r="JF22" s="290">
        <f t="shared" si="70"/>
        <v>3070867.4631331302</v>
      </c>
      <c r="JG22" s="17">
        <v>140453.43700000003</v>
      </c>
      <c r="JH22" s="290">
        <f t="shared" si="31"/>
        <v>140424.80515023344</v>
      </c>
      <c r="JI22" s="17">
        <v>1584888.0867861542</v>
      </c>
      <c r="JJ22" s="290">
        <f t="shared" si="32"/>
        <v>1584888.0867861542</v>
      </c>
      <c r="JK22" s="17">
        <v>1875089.1032839823</v>
      </c>
      <c r="JL22" s="290">
        <v>1875089.1032839823</v>
      </c>
      <c r="JM22" s="17">
        <v>122276.40949999998</v>
      </c>
      <c r="JN22" s="290">
        <f t="shared" si="33"/>
        <v>122251.48309120869</v>
      </c>
      <c r="JO22" s="17">
        <v>66937.261999999988</v>
      </c>
      <c r="JP22" s="290">
        <f t="shared" si="34"/>
        <v>66923.616640581895</v>
      </c>
      <c r="JQ22" s="17">
        <v>216514.44469999999</v>
      </c>
      <c r="JR22" s="290">
        <f t="shared" si="35"/>
        <v>216470.30758819013</v>
      </c>
      <c r="JS22" s="17">
        <v>796380.27040000004</v>
      </c>
      <c r="JT22" s="290">
        <f t="shared" si="36"/>
        <v>796217.9259195358</v>
      </c>
      <c r="JU22" s="17">
        <f t="shared" si="37"/>
        <v>7874032.6098839818</v>
      </c>
      <c r="JV22" s="17">
        <f t="shared" si="37"/>
        <v>7873132.7915930171</v>
      </c>
      <c r="JW22" s="320">
        <f t="shared" si="9"/>
        <v>4.2849977762216396</v>
      </c>
      <c r="KA22" s="283">
        <v>17</v>
      </c>
      <c r="KB22" s="306">
        <v>17</v>
      </c>
      <c r="KC22" s="97">
        <f t="shared" si="10"/>
        <v>10</v>
      </c>
      <c r="KD22" s="390">
        <f t="shared" ref="KD22:KD25" si="124">KC22</f>
        <v>10</v>
      </c>
      <c r="KE22" s="289">
        <f t="shared" si="12"/>
        <v>183737150</v>
      </c>
      <c r="KF22" s="289">
        <f t="shared" si="13"/>
        <v>190673013.43996269</v>
      </c>
      <c r="KG22" s="321">
        <f t="shared" si="38"/>
        <v>1</v>
      </c>
      <c r="KH22" s="321">
        <f t="shared" si="39"/>
        <v>1.0377488354421667</v>
      </c>
      <c r="KI22" s="321">
        <f t="shared" si="40"/>
        <v>0.96435367802203842</v>
      </c>
      <c r="KJ22" s="306" t="s">
        <v>256</v>
      </c>
      <c r="KK22" s="322"/>
      <c r="KL22" s="323"/>
      <c r="KM22" s="322"/>
      <c r="KN22" s="283">
        <v>17</v>
      </c>
      <c r="KO22" s="306">
        <v>17</v>
      </c>
      <c r="KP22" s="324" t="str">
        <f t="shared" si="14"/>
        <v>Q3</v>
      </c>
      <c r="KQ22" s="325">
        <f t="shared" si="15"/>
        <v>0.96435367802203842</v>
      </c>
      <c r="KR22" s="17">
        <f t="shared" si="41"/>
        <v>7829.5435988810923</v>
      </c>
      <c r="KS22" s="17">
        <f t="shared" si="42"/>
        <v>7550.4491668148885</v>
      </c>
      <c r="KT22" s="17">
        <f t="shared" si="16"/>
        <v>20373895</v>
      </c>
      <c r="KU22" s="17">
        <f t="shared" si="43"/>
        <v>20862698.32464955</v>
      </c>
      <c r="KV22" s="17">
        <f t="shared" si="17"/>
        <v>8578324</v>
      </c>
      <c r="KW22" s="17">
        <f t="shared" si="18"/>
        <v>11452530.946335092</v>
      </c>
      <c r="KX22" s="17">
        <f t="shared" si="44"/>
        <v>225000</v>
      </c>
      <c r="KY22" s="17">
        <f t="shared" si="45"/>
        <v>413914.23621994059</v>
      </c>
      <c r="KZ22" s="17">
        <f t="shared" si="46"/>
        <v>8811153.543598881</v>
      </c>
      <c r="LA22" s="17">
        <f t="shared" si="46"/>
        <v>11873995.631721849</v>
      </c>
      <c r="LB22" s="326"/>
      <c r="LC22" s="323"/>
      <c r="LD22" s="322"/>
      <c r="LE22" s="364">
        <f t="shared" si="71"/>
        <v>17</v>
      </c>
      <c r="LF22" s="365">
        <v>16</v>
      </c>
      <c r="LG22" s="411">
        <f t="shared" si="72"/>
        <v>1</v>
      </c>
      <c r="LH22" s="411">
        <f t="shared" si="72"/>
        <v>1.0377488354421667</v>
      </c>
      <c r="LI22" s="412">
        <v>113.92083696213525</v>
      </c>
      <c r="LJ22" s="343">
        <f t="shared" si="73"/>
        <v>2537032.2619503047</v>
      </c>
      <c r="LK22" s="412">
        <v>113.92083696213525</v>
      </c>
      <c r="LL22" s="343">
        <f t="shared" si="47"/>
        <v>105130.49105856559</v>
      </c>
      <c r="LM22" s="412">
        <v>113.92083696213525</v>
      </c>
      <c r="LN22" s="343">
        <f t="shared" si="48"/>
        <v>1323753.7962013045</v>
      </c>
      <c r="LO22" s="412">
        <v>118.41952153062</v>
      </c>
      <c r="LP22" s="343">
        <f t="shared" si="74"/>
        <v>1842397.60847645</v>
      </c>
      <c r="LQ22" s="412">
        <v>118.887537452888</v>
      </c>
      <c r="LR22" s="343">
        <f t="shared" si="49"/>
        <v>120487.51602329938</v>
      </c>
      <c r="LS22" s="412">
        <v>168.49721907230401</v>
      </c>
      <c r="LT22" s="343">
        <f t="shared" si="50"/>
        <v>50028.821937357221</v>
      </c>
      <c r="LU22" s="412">
        <v>107.679074448752</v>
      </c>
      <c r="LV22" s="343">
        <f t="shared" si="51"/>
        <v>593330.91741827747</v>
      </c>
      <c r="LW22" s="412">
        <v>115.99271402550001</v>
      </c>
      <c r="LX22" s="343">
        <f t="shared" si="52"/>
        <v>782021.20148960501</v>
      </c>
      <c r="LY22" s="20">
        <f t="shared" si="53"/>
        <v>7859568.3814669428</v>
      </c>
      <c r="LZ22" s="20">
        <f t="shared" si="75"/>
        <v>7354182.6145551642</v>
      </c>
      <c r="MA22" s="103"/>
      <c r="MB22" s="335"/>
      <c r="MD22" s="283">
        <v>17</v>
      </c>
      <c r="ME22" s="336">
        <v>17</v>
      </c>
      <c r="MF22" s="17">
        <f t="shared" si="19"/>
        <v>8849584.3189000003</v>
      </c>
      <c r="MG22" s="17">
        <f t="shared" si="19"/>
        <v>8811153.543598881</v>
      </c>
      <c r="MH22" s="290">
        <f t="shared" si="20"/>
        <v>11873995.631721849</v>
      </c>
      <c r="MI22" s="17">
        <f t="shared" si="21"/>
        <v>7874032.6098839818</v>
      </c>
      <c r="MJ22" s="17">
        <f t="shared" si="21"/>
        <v>7873132.7915930171</v>
      </c>
      <c r="MK22" s="290">
        <f t="shared" si="54"/>
        <v>7592484.5651286449</v>
      </c>
      <c r="ML22" s="17">
        <f t="shared" si="55"/>
        <v>975551.70901601855</v>
      </c>
      <c r="MM22" s="17">
        <f t="shared" si="55"/>
        <v>938020.75200586393</v>
      </c>
      <c r="MN22" s="17">
        <f t="shared" si="55"/>
        <v>4281511.0665932037</v>
      </c>
      <c r="MX22" s="338">
        <f t="shared" si="85"/>
        <v>16</v>
      </c>
      <c r="MZ22" s="20"/>
      <c r="NA22" s="414"/>
      <c r="NC22" s="15"/>
      <c r="ND22" s="414"/>
      <c r="NH22" s="338">
        <f t="shared" si="86"/>
        <v>16</v>
      </c>
      <c r="NI22" s="96"/>
      <c r="NJ22" s="20"/>
      <c r="NK22" s="20"/>
      <c r="NL22" s="20"/>
      <c r="NM22" s="352"/>
    </row>
    <row r="23" spans="2:377" ht="17.25" thickBot="1" x14ac:dyDescent="0.35">
      <c r="B23" s="899" t="s">
        <v>246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V23" s="522">
        <v>12</v>
      </c>
      <c r="W23" s="523" t="s">
        <v>247</v>
      </c>
      <c r="X23" s="524">
        <f>X19/X8-1</f>
        <v>-10.725800108351573</v>
      </c>
      <c r="Y23" s="524">
        <f>Y19/Y8-1</f>
        <v>6.3144250431577058</v>
      </c>
      <c r="Z23" s="524">
        <f>Z19/Z8-1</f>
        <v>5.6217042450658381</v>
      </c>
      <c r="AA23" s="524">
        <f>AA19/AA8-1</f>
        <v>6.5449191184872637</v>
      </c>
      <c r="AB23" s="344"/>
      <c r="AL23" s="464"/>
      <c r="AN23" s="467">
        <v>19</v>
      </c>
      <c r="AO23" s="525"/>
      <c r="AP23" s="526" t="s">
        <v>248</v>
      </c>
      <c r="AQ23" s="527"/>
      <c r="AR23" s="528"/>
      <c r="AS23" s="529"/>
      <c r="AT23" s="530">
        <v>158</v>
      </c>
      <c r="AU23" s="531"/>
      <c r="AV23" s="529"/>
      <c r="AW23" s="530">
        <v>165</v>
      </c>
      <c r="AX23" s="531"/>
      <c r="AY23" s="532"/>
      <c r="AZ23" s="529"/>
      <c r="BA23" s="530">
        <v>184</v>
      </c>
      <c r="BB23" s="531"/>
      <c r="BC23" s="532"/>
      <c r="BD23" s="529"/>
      <c r="BE23" s="530">
        <v>190</v>
      </c>
      <c r="BF23" s="531"/>
      <c r="BG23" s="532"/>
      <c r="BH23" s="529"/>
      <c r="BI23" s="530">
        <v>191</v>
      </c>
      <c r="BJ23" s="531"/>
      <c r="BK23" s="532"/>
      <c r="BL23" s="529"/>
      <c r="BM23" s="530">
        <v>195</v>
      </c>
      <c r="BN23" s="531"/>
      <c r="BO23" s="532"/>
      <c r="BP23" s="529"/>
      <c r="BQ23" s="530">
        <v>189</v>
      </c>
      <c r="BR23" s="531"/>
      <c r="BS23" s="532"/>
      <c r="BT23" s="961">
        <v>179</v>
      </c>
      <c r="BU23" s="961"/>
      <c r="BV23" s="962"/>
      <c r="BW23" s="533"/>
      <c r="BX23" s="901"/>
      <c r="BY23" s="901"/>
      <c r="BZ23" s="534"/>
      <c r="CA23" s="535"/>
      <c r="CB23" s="97"/>
      <c r="CC23" s="536">
        <f>F25</f>
        <v>205</v>
      </c>
      <c r="CD23" s="535"/>
      <c r="CE23" s="528"/>
      <c r="CF23" s="534">
        <f>CC23/AT23-1</f>
        <v>0.29746835443037978</v>
      </c>
      <c r="CG23" s="528">
        <f t="shared" si="105"/>
        <v>1.4572657766658947E-2</v>
      </c>
      <c r="DA23" s="518"/>
      <c r="DX23" s="493"/>
      <c r="DZ23" s="537"/>
      <c r="EO23" s="538"/>
      <c r="FE23" s="538"/>
      <c r="FG23" s="338">
        <f t="shared" si="84"/>
        <v>18</v>
      </c>
      <c r="FH23" s="360"/>
      <c r="FI23" s="361" t="s">
        <v>249</v>
      </c>
      <c r="FJ23" s="20">
        <v>184467.98630000005</v>
      </c>
      <c r="FK23" s="20">
        <v>403622.42860000004</v>
      </c>
      <c r="FL23" s="20">
        <v>584954.08510000003</v>
      </c>
      <c r="FM23" s="343">
        <f>FJ23+FL23+FK23</f>
        <v>1173044.5</v>
      </c>
      <c r="FN23" s="20">
        <v>186722.60478181817</v>
      </c>
      <c r="FO23" s="20">
        <v>404621.59053000004</v>
      </c>
      <c r="FP23" s="20">
        <v>584954.08509999991</v>
      </c>
      <c r="FQ23" s="20">
        <v>1176298.2804118181</v>
      </c>
      <c r="FR23" s="20">
        <v>1176298.2804118181</v>
      </c>
      <c r="FS23" s="103"/>
      <c r="FT23" s="408"/>
      <c r="HW23" s="338">
        <v>18</v>
      </c>
      <c r="HX23" s="322">
        <v>18</v>
      </c>
      <c r="HY23" s="322">
        <v>10</v>
      </c>
      <c r="HZ23" s="322">
        <v>10</v>
      </c>
      <c r="IA23" s="347">
        <v>213390219</v>
      </c>
      <c r="IB23" s="347">
        <v>213547750</v>
      </c>
      <c r="IC23" s="342">
        <f t="shared" si="5"/>
        <v>1</v>
      </c>
      <c r="ID23" s="342">
        <f t="shared" si="6"/>
        <v>1.0007382297123937</v>
      </c>
      <c r="IE23" s="344">
        <v>0</v>
      </c>
      <c r="IF23" s="344">
        <v>0.1</v>
      </c>
      <c r="IG23" s="344">
        <v>0.9</v>
      </c>
      <c r="IK23" s="364">
        <v>18</v>
      </c>
      <c r="IL23" s="365">
        <v>18</v>
      </c>
      <c r="IM23" s="341">
        <f t="shared" si="7"/>
        <v>1.0007382297123937</v>
      </c>
      <c r="IN23" s="20">
        <v>28794.560000000001</v>
      </c>
      <c r="IO23" s="343">
        <f t="shared" si="29"/>
        <v>28815.816999747305</v>
      </c>
      <c r="IP23" s="20">
        <v>23950319.75</v>
      </c>
      <c r="IQ23" s="343">
        <v>23993455</v>
      </c>
      <c r="IR23" s="20">
        <v>10389360.884500001</v>
      </c>
      <c r="IS23" s="343">
        <v>10106699</v>
      </c>
      <c r="IT23" s="20">
        <v>225000</v>
      </c>
      <c r="IU23" s="20">
        <v>225000</v>
      </c>
      <c r="IV23" s="20">
        <f t="shared" si="30"/>
        <v>10643155.444500001</v>
      </c>
      <c r="IW23" s="20">
        <f t="shared" si="30"/>
        <v>10360514.816999746</v>
      </c>
      <c r="IX23" s="314"/>
      <c r="IY23" s="315"/>
      <c r="IZ23" s="314"/>
      <c r="JA23" s="366">
        <v>18</v>
      </c>
      <c r="JB23" s="365">
        <v>18</v>
      </c>
      <c r="JC23" s="367">
        <f t="shared" si="8"/>
        <v>1</v>
      </c>
      <c r="JD23" s="368">
        <f t="shared" si="8"/>
        <v>1.0007382297123937</v>
      </c>
      <c r="JE23" s="20">
        <v>3366026.4962374517</v>
      </c>
      <c r="JF23" s="343">
        <f t="shared" si="70"/>
        <v>3368511.3970096787</v>
      </c>
      <c r="JG23" s="20">
        <v>315994.95600000006</v>
      </c>
      <c r="JH23" s="343">
        <f t="shared" si="31"/>
        <v>316228.23286548577</v>
      </c>
      <c r="JI23" s="20">
        <v>1356438.8177625476</v>
      </c>
      <c r="JJ23" s="343">
        <f t="shared" si="32"/>
        <v>1356438.8177625476</v>
      </c>
      <c r="JK23" s="20">
        <v>2031537.2144496564</v>
      </c>
      <c r="JL23" s="343">
        <v>2031537.2144496564</v>
      </c>
      <c r="JM23" s="20">
        <v>178113.86633333337</v>
      </c>
      <c r="JN23" s="343">
        <f t="shared" si="33"/>
        <v>178245.35528164994</v>
      </c>
      <c r="JO23" s="20">
        <v>93376.38466666668</v>
      </c>
      <c r="JP23" s="343">
        <f t="shared" si="34"/>
        <v>93445.317888263511</v>
      </c>
      <c r="JQ23" s="20">
        <v>626429.43999999994</v>
      </c>
      <c r="JR23" s="343">
        <f t="shared" si="35"/>
        <v>626891.88882532611</v>
      </c>
      <c r="JS23" s="20">
        <v>1182378.5</v>
      </c>
      <c r="JT23" s="343">
        <f t="shared" si="36"/>
        <v>1183251.3669399954</v>
      </c>
      <c r="JU23" s="20">
        <f t="shared" si="37"/>
        <v>9150295.6754496563</v>
      </c>
      <c r="JV23" s="20">
        <f t="shared" si="37"/>
        <v>9154549.5910226032</v>
      </c>
      <c r="JW23" s="369">
        <f t="shared" si="9"/>
        <v>4.2868864649815341</v>
      </c>
      <c r="KA23" s="338">
        <v>18</v>
      </c>
      <c r="KB23" s="322">
        <v>18</v>
      </c>
      <c r="KC23" s="518">
        <f t="shared" si="10"/>
        <v>10</v>
      </c>
      <c r="KD23" s="96">
        <f t="shared" si="124"/>
        <v>10</v>
      </c>
      <c r="KE23" s="370">
        <f t="shared" si="12"/>
        <v>213547750</v>
      </c>
      <c r="KF23" s="370">
        <f t="shared" si="13"/>
        <v>221608928.87379494</v>
      </c>
      <c r="KG23" s="371">
        <f t="shared" si="38"/>
        <v>1</v>
      </c>
      <c r="KH23" s="371">
        <f t="shared" si="39"/>
        <v>1.0377488354421667</v>
      </c>
      <c r="KI23" s="371">
        <f t="shared" si="40"/>
        <v>0.948004172777694</v>
      </c>
      <c r="KJ23" s="322" t="s">
        <v>441</v>
      </c>
      <c r="KK23" s="322"/>
      <c r="KL23" s="323"/>
      <c r="KM23" s="322"/>
      <c r="KN23" s="338">
        <v>18</v>
      </c>
      <c r="KO23" s="322">
        <v>18</v>
      </c>
      <c r="KP23" s="437" t="str">
        <f t="shared" si="14"/>
        <v>Q2</v>
      </c>
      <c r="KQ23" s="373">
        <f t="shared" si="15"/>
        <v>0.948004172777694</v>
      </c>
      <c r="KR23" s="358">
        <f t="shared" si="41"/>
        <v>28815.816999747305</v>
      </c>
      <c r="KS23" s="358">
        <f t="shared" si="42"/>
        <v>27317.514757758858</v>
      </c>
      <c r="KT23" s="358">
        <f t="shared" si="16"/>
        <v>23993455</v>
      </c>
      <c r="KU23" s="358">
        <f t="shared" si="43"/>
        <v>24247585.674196433</v>
      </c>
      <c r="KV23" s="358">
        <f t="shared" si="17"/>
        <v>10106699</v>
      </c>
      <c r="KW23" s="358">
        <f t="shared" si="18"/>
        <v>13310657.182802876</v>
      </c>
      <c r="KX23" s="358">
        <f t="shared" si="44"/>
        <v>225000</v>
      </c>
      <c r="KY23" s="358">
        <f t="shared" si="45"/>
        <v>481070.12565361342</v>
      </c>
      <c r="KZ23" s="358">
        <f t="shared" si="46"/>
        <v>10360514.816999746</v>
      </c>
      <c r="LA23" s="358">
        <f t="shared" si="46"/>
        <v>13819044.823214248</v>
      </c>
      <c r="LB23" s="326"/>
      <c r="LC23" s="323"/>
      <c r="LD23" s="322"/>
      <c r="LE23" s="374">
        <f t="shared" si="71"/>
        <v>18</v>
      </c>
      <c r="LF23" s="375">
        <v>17</v>
      </c>
      <c r="LG23" s="376">
        <f t="shared" si="72"/>
        <v>1</v>
      </c>
      <c r="LH23" s="376">
        <f t="shared" si="72"/>
        <v>1.0377488354421667</v>
      </c>
      <c r="LI23" s="377">
        <v>106.45762205358784</v>
      </c>
      <c r="LJ23" s="290">
        <f t="shared" si="73"/>
        <v>2810785.9624182018</v>
      </c>
      <c r="LK23" s="377">
        <v>106.45762205358784</v>
      </c>
      <c r="LL23" s="290">
        <f t="shared" si="47"/>
        <v>128531.7832274274</v>
      </c>
      <c r="LM23" s="377">
        <v>106.45762205358784</v>
      </c>
      <c r="LN23" s="290">
        <f t="shared" si="48"/>
        <v>1397890.1645183493</v>
      </c>
      <c r="LO23" s="377">
        <v>118.614283549666</v>
      </c>
      <c r="LP23" s="290">
        <f t="shared" si="74"/>
        <v>1961386.7649846177</v>
      </c>
      <c r="LQ23" s="377">
        <v>119.48337591187899</v>
      </c>
      <c r="LR23" s="290">
        <f t="shared" si="49"/>
        <v>132637.31784896573</v>
      </c>
      <c r="LS23" s="377">
        <v>157.07111615098</v>
      </c>
      <c r="LT23" s="290">
        <f t="shared" si="50"/>
        <v>63146.237996318843</v>
      </c>
      <c r="LU23" s="377">
        <v>112.15574935818501</v>
      </c>
      <c r="LV23" s="290">
        <f t="shared" si="51"/>
        <v>236162.40268015841</v>
      </c>
      <c r="LW23" s="377">
        <v>116.939890710382</v>
      </c>
      <c r="LX23" s="378">
        <f t="shared" si="52"/>
        <v>861943.931454606</v>
      </c>
      <c r="LY23" s="379">
        <f t="shared" si="53"/>
        <v>7873132.7915930171</v>
      </c>
      <c r="LZ23" s="379">
        <f t="shared" si="75"/>
        <v>7592484.5651286449</v>
      </c>
      <c r="MA23" s="103"/>
      <c r="MB23" s="335"/>
      <c r="MD23" s="338">
        <v>18</v>
      </c>
      <c r="ME23" s="380">
        <v>18</v>
      </c>
      <c r="MF23" s="20">
        <f t="shared" si="19"/>
        <v>10643155.444500001</v>
      </c>
      <c r="MG23" s="20">
        <f t="shared" si="19"/>
        <v>10360514.816999746</v>
      </c>
      <c r="MH23" s="343">
        <f t="shared" si="20"/>
        <v>13819044.823214248</v>
      </c>
      <c r="MI23" s="20">
        <f t="shared" si="21"/>
        <v>9150295.6754496563</v>
      </c>
      <c r="MJ23" s="20">
        <f t="shared" si="21"/>
        <v>9154549.5910226032</v>
      </c>
      <c r="MK23" s="343">
        <f t="shared" si="54"/>
        <v>8678551.2121897601</v>
      </c>
      <c r="ML23" s="20">
        <f t="shared" si="55"/>
        <v>1492859.7690503448</v>
      </c>
      <c r="MM23" s="20">
        <f t="shared" si="55"/>
        <v>1205965.2259771433</v>
      </c>
      <c r="MN23" s="20">
        <f t="shared" si="55"/>
        <v>5140493.6110244878</v>
      </c>
      <c r="MX23" s="283">
        <f>MX22+1</f>
        <v>17</v>
      </c>
      <c r="MY23" s="285" t="s">
        <v>250</v>
      </c>
      <c r="MZ23" s="28">
        <v>18998322.143907189</v>
      </c>
      <c r="NA23" s="509">
        <f>MZ23/$MZ$34*100</f>
        <v>0.86661707606831095</v>
      </c>
      <c r="NB23" s="285"/>
      <c r="NC23" s="539">
        <v>18998322.143907189</v>
      </c>
      <c r="ND23" s="509">
        <f>NC23/$ND$34*100</f>
        <v>0.86661707606831095</v>
      </c>
      <c r="NH23" s="283">
        <f>NH22+1</f>
        <v>17</v>
      </c>
      <c r="NI23" s="285" t="str">
        <f>MY23</f>
        <v>Total Return</v>
      </c>
      <c r="NJ23" s="28">
        <v>20413939.926346004</v>
      </c>
      <c r="NK23" s="28">
        <f>MZ23</f>
        <v>18998322.143907189</v>
      </c>
      <c r="NL23" s="28">
        <f t="shared" si="77"/>
        <v>-1415617.7824388146</v>
      </c>
      <c r="NM23" s="395">
        <f>NL23/NJ23</f>
        <v>-6.9345642612175712E-2</v>
      </c>
    </row>
    <row r="24" spans="2:377" x14ac:dyDescent="0.3">
      <c r="B24" s="540">
        <f>B22+1</f>
        <v>18</v>
      </c>
      <c r="C24" s="541" t="s">
        <v>244</v>
      </c>
      <c r="D24" s="541"/>
      <c r="E24" s="542"/>
      <c r="F24" s="963">
        <f>HN6</f>
        <v>2078388796</v>
      </c>
      <c r="G24" s="964"/>
      <c r="H24" s="963">
        <f>HR6</f>
        <v>2083394612.0181818</v>
      </c>
      <c r="I24" s="965"/>
      <c r="J24" s="964"/>
      <c r="K24" s="963">
        <f>IB26</f>
        <v>2112495296</v>
      </c>
      <c r="L24" s="965"/>
      <c r="M24" s="964"/>
      <c r="N24" s="963">
        <f>KF26</f>
        <v>2192239533.301055</v>
      </c>
      <c r="O24" s="965"/>
      <c r="P24" s="964"/>
      <c r="Q24" s="902">
        <f t="shared" ref="Q24" si="125">N24-F24</f>
        <v>113850737.30105495</v>
      </c>
      <c r="R24" s="543">
        <f>N24/F24-1</f>
        <v>5.4778363663318563E-2</v>
      </c>
      <c r="AL24" s="464"/>
      <c r="DX24" s="493"/>
      <c r="DY24" s="280"/>
      <c r="FG24" s="483">
        <f t="shared" si="84"/>
        <v>19</v>
      </c>
      <c r="FH24" s="495"/>
      <c r="FI24" s="496" t="s">
        <v>239</v>
      </c>
      <c r="FJ24" s="28">
        <f>SUM(FJ22:FJ23)</f>
        <v>184867.98630000005</v>
      </c>
      <c r="FK24" s="28">
        <f>SUM(FK22:FK23)</f>
        <v>406029.23860000004</v>
      </c>
      <c r="FL24" s="28">
        <f>SUM(FL22:FL23)</f>
        <v>587754.08510000003</v>
      </c>
      <c r="FM24" s="497">
        <f>FJ24+FL24+FK24</f>
        <v>1178651.31</v>
      </c>
      <c r="FN24" s="28">
        <v>186722.60478181817</v>
      </c>
      <c r="FO24" s="28">
        <v>404621.59053000004</v>
      </c>
      <c r="FP24" s="28">
        <v>584954.08509999991</v>
      </c>
      <c r="FQ24" s="28">
        <v>1176298.2804118181</v>
      </c>
      <c r="FR24" s="28">
        <v>1176298.2804118181</v>
      </c>
      <c r="FS24" s="103"/>
      <c r="FT24" s="408"/>
      <c r="HW24" s="283">
        <v>19</v>
      </c>
      <c r="HX24" s="306">
        <v>19</v>
      </c>
      <c r="HY24" s="306">
        <v>10</v>
      </c>
      <c r="HZ24" s="306">
        <v>10</v>
      </c>
      <c r="IA24" s="307">
        <v>249773354</v>
      </c>
      <c r="IB24" s="307">
        <v>247985580</v>
      </c>
      <c r="IC24" s="309">
        <f t="shared" si="5"/>
        <v>1</v>
      </c>
      <c r="ID24" s="309">
        <f t="shared" si="6"/>
        <v>0.99284241504800386</v>
      </c>
      <c r="IE24" s="310">
        <v>0</v>
      </c>
      <c r="IF24" s="310">
        <v>0.1</v>
      </c>
      <c r="IG24" s="310">
        <v>0.9</v>
      </c>
      <c r="IK24" s="410">
        <v>19</v>
      </c>
      <c r="IL24" s="317">
        <v>19</v>
      </c>
      <c r="IM24" s="313">
        <f t="shared" si="7"/>
        <v>0.99284241504800386</v>
      </c>
      <c r="IN24" s="17">
        <v>15679.92</v>
      </c>
      <c r="IO24" s="290">
        <f t="shared" si="29"/>
        <v>15567.689640559496</v>
      </c>
      <c r="IP24" s="17">
        <v>26667177</v>
      </c>
      <c r="IQ24" s="290">
        <v>27520572</v>
      </c>
      <c r="IR24" s="17">
        <v>11438357.851000002</v>
      </c>
      <c r="IS24" s="290">
        <v>11555915</v>
      </c>
      <c r="IT24" s="17">
        <v>225000</v>
      </c>
      <c r="IU24" s="17">
        <v>225000</v>
      </c>
      <c r="IV24" s="17">
        <f t="shared" si="30"/>
        <v>11679037.771000002</v>
      </c>
      <c r="IW24" s="17">
        <f t="shared" si="30"/>
        <v>11796482.689640559</v>
      </c>
      <c r="IX24" s="314"/>
      <c r="IY24" s="315"/>
      <c r="IZ24" s="314"/>
      <c r="JA24" s="316">
        <v>19</v>
      </c>
      <c r="JB24" s="317">
        <v>19</v>
      </c>
      <c r="JC24" s="318">
        <f t="shared" si="8"/>
        <v>1</v>
      </c>
      <c r="JD24" s="319">
        <f t="shared" si="8"/>
        <v>0.99284241504800386</v>
      </c>
      <c r="JE24" s="17">
        <v>4734511.2557995431</v>
      </c>
      <c r="JF24" s="290">
        <f t="shared" si="70"/>
        <v>4700623.5892799757</v>
      </c>
      <c r="JG24" s="17">
        <v>230037.61</v>
      </c>
      <c r="JH24" s="290">
        <f t="shared" si="31"/>
        <v>228391.09626427083</v>
      </c>
      <c r="JI24" s="17">
        <v>1633641.354200457</v>
      </c>
      <c r="JJ24" s="290">
        <f t="shared" si="32"/>
        <v>1633641.354200457</v>
      </c>
      <c r="JK24" s="17">
        <v>2197514.8582347659</v>
      </c>
      <c r="JL24" s="290">
        <v>2197514.8582347659</v>
      </c>
      <c r="JM24" s="17">
        <v>105638.49200000003</v>
      </c>
      <c r="JN24" s="290">
        <f t="shared" si="33"/>
        <v>104882.37551930927</v>
      </c>
      <c r="JO24" s="17">
        <v>97911.6</v>
      </c>
      <c r="JP24" s="290">
        <f t="shared" si="34"/>
        <v>97210.789405214135</v>
      </c>
      <c r="JQ24" s="17">
        <v>945705.48</v>
      </c>
      <c r="JR24" s="290">
        <f t="shared" si="35"/>
        <v>938936.51268733165</v>
      </c>
      <c r="JS24" s="17">
        <v>1285143.97</v>
      </c>
      <c r="JT24" s="290">
        <f t="shared" si="36"/>
        <v>1275945.4428591793</v>
      </c>
      <c r="JU24" s="17">
        <f t="shared" si="37"/>
        <v>11230104.620234767</v>
      </c>
      <c r="JV24" s="17">
        <f t="shared" si="37"/>
        <v>11177146.018450504</v>
      </c>
      <c r="JW24" s="320">
        <f t="shared" si="9"/>
        <v>4.5071757875802714</v>
      </c>
      <c r="KA24" s="283">
        <v>19</v>
      </c>
      <c r="KB24" s="306">
        <v>19</v>
      </c>
      <c r="KC24" s="97">
        <f t="shared" si="10"/>
        <v>10</v>
      </c>
      <c r="KD24" s="390">
        <f t="shared" si="124"/>
        <v>10</v>
      </c>
      <c r="KE24" s="289">
        <f t="shared" si="12"/>
        <v>247985580</v>
      </c>
      <c r="KF24" s="289">
        <f t="shared" si="13"/>
        <v>257346746.85145026</v>
      </c>
      <c r="KG24" s="321">
        <f t="shared" si="38"/>
        <v>1</v>
      </c>
      <c r="KH24" s="321">
        <f t="shared" si="39"/>
        <v>1.0377488354421667</v>
      </c>
      <c r="KI24" s="321">
        <f t="shared" si="40"/>
        <v>0.9718261337028159</v>
      </c>
      <c r="KJ24" s="306" t="s">
        <v>256</v>
      </c>
      <c r="KK24" s="322"/>
      <c r="KL24" s="323"/>
      <c r="KM24" s="322"/>
      <c r="KN24" s="283">
        <v>19</v>
      </c>
      <c r="KO24" s="306">
        <v>19</v>
      </c>
      <c r="KP24" s="324" t="str">
        <f t="shared" si="14"/>
        <v>Q3</v>
      </c>
      <c r="KQ24" s="325">
        <f t="shared" si="15"/>
        <v>0.9718261337028159</v>
      </c>
      <c r="KR24" s="17">
        <f t="shared" si="41"/>
        <v>15567.689640559496</v>
      </c>
      <c r="KS24" s="17">
        <f t="shared" si="42"/>
        <v>15129.087634070314</v>
      </c>
      <c r="KT24" s="17">
        <f t="shared" si="16"/>
        <v>27520572</v>
      </c>
      <c r="KU24" s="17">
        <f t="shared" si="43"/>
        <v>28157878.493289176</v>
      </c>
      <c r="KV24" s="17">
        <f t="shared" si="17"/>
        <v>11555915</v>
      </c>
      <c r="KW24" s="17">
        <f t="shared" si="18"/>
        <v>15457203.560601963</v>
      </c>
      <c r="KX24" s="17">
        <f t="shared" si="44"/>
        <v>225000</v>
      </c>
      <c r="KY24" s="17">
        <f t="shared" si="45"/>
        <v>558650.01682707598</v>
      </c>
      <c r="KZ24" s="17">
        <f t="shared" si="46"/>
        <v>11796482.689640559</v>
      </c>
      <c r="LA24" s="17">
        <f t="shared" si="46"/>
        <v>16030982.665063109</v>
      </c>
      <c r="LB24" s="326"/>
      <c r="LC24" s="323"/>
      <c r="LD24" s="322"/>
      <c r="LE24" s="364">
        <f t="shared" si="71"/>
        <v>19</v>
      </c>
      <c r="LF24" s="365">
        <v>18</v>
      </c>
      <c r="LG24" s="411">
        <f t="shared" si="72"/>
        <v>1</v>
      </c>
      <c r="LH24" s="411">
        <f t="shared" si="72"/>
        <v>1.0377488354421667</v>
      </c>
      <c r="LI24" s="412">
        <v>113.92083696213525</v>
      </c>
      <c r="LJ24" s="343">
        <f t="shared" si="73"/>
        <v>2881232.5876797545</v>
      </c>
      <c r="LK24" s="412">
        <v>113.92083696213525</v>
      </c>
      <c r="LL24" s="343">
        <f t="shared" si="47"/>
        <v>270483.60011049767</v>
      </c>
      <c r="LM24" s="412">
        <v>113.92083696213525</v>
      </c>
      <c r="LN24" s="343">
        <f t="shared" si="48"/>
        <v>1118016.600411206</v>
      </c>
      <c r="LO24" s="412">
        <v>118.41952153062</v>
      </c>
      <c r="LP24" s="343">
        <f t="shared" si="74"/>
        <v>2128530.1231251913</v>
      </c>
      <c r="LQ24" s="412">
        <v>118.887537452888</v>
      </c>
      <c r="LR24" s="343">
        <f t="shared" si="49"/>
        <v>194357.35035353311</v>
      </c>
      <c r="LS24" s="412">
        <v>168.49721907230401</v>
      </c>
      <c r="LT24" s="343">
        <f t="shared" si="50"/>
        <v>82191.937365970967</v>
      </c>
      <c r="LU24" s="412">
        <v>107.679074448752</v>
      </c>
      <c r="LV24" s="343">
        <f t="shared" si="51"/>
        <v>712353.07360856736</v>
      </c>
      <c r="LW24" s="412">
        <v>115.99271402550001</v>
      </c>
      <c r="LX24" s="343">
        <f t="shared" si="52"/>
        <v>1291385.9395350376</v>
      </c>
      <c r="LY24" s="20">
        <f t="shared" si="53"/>
        <v>9154549.5910226032</v>
      </c>
      <c r="LZ24" s="20">
        <f t="shared" si="75"/>
        <v>8678551.2121897601</v>
      </c>
      <c r="MA24" s="103"/>
      <c r="MB24" s="335"/>
      <c r="MD24" s="283">
        <v>19</v>
      </c>
      <c r="ME24" s="336">
        <v>19</v>
      </c>
      <c r="MF24" s="17">
        <f t="shared" si="19"/>
        <v>11679037.771000002</v>
      </c>
      <c r="MG24" s="17">
        <f t="shared" si="19"/>
        <v>11796482.689640559</v>
      </c>
      <c r="MH24" s="290">
        <f t="shared" si="20"/>
        <v>16030982.665063109</v>
      </c>
      <c r="MI24" s="17">
        <f t="shared" si="21"/>
        <v>11230104.620234767</v>
      </c>
      <c r="MJ24" s="17">
        <f t="shared" si="21"/>
        <v>11177146.018450504</v>
      </c>
      <c r="MK24" s="290">
        <f t="shared" si="54"/>
        <v>10862242.600942576</v>
      </c>
      <c r="ML24" s="17">
        <f t="shared" si="55"/>
        <v>448933.1507652346</v>
      </c>
      <c r="MM24" s="17">
        <f t="shared" si="55"/>
        <v>619336.67119005509</v>
      </c>
      <c r="MN24" s="17">
        <f t="shared" si="55"/>
        <v>5168740.0641205329</v>
      </c>
      <c r="MX24" s="446">
        <f t="shared" si="85"/>
        <v>18</v>
      </c>
      <c r="MY24" s="418" t="s">
        <v>251</v>
      </c>
      <c r="MZ24" s="544">
        <f>1-(MZ8+MZ21)/(MZ8+MZ21+MZ23)</f>
        <v>5.3824727502859493E-2</v>
      </c>
      <c r="NA24" s="472"/>
      <c r="NB24" s="453"/>
      <c r="NC24" s="545">
        <f>1-(NC8+NC21)/(NC8+NC21+NC23)</f>
        <v>5.3824727502859493E-2</v>
      </c>
      <c r="ND24" s="472"/>
      <c r="NH24" s="446">
        <f t="shared" si="86"/>
        <v>18</v>
      </c>
      <c r="NI24" s="546" t="str">
        <f>MY24</f>
        <v>Pre-Tax Return</v>
      </c>
      <c r="NJ24" s="29">
        <v>5.3900000000000059E-2</v>
      </c>
      <c r="NK24" s="547">
        <f>MZ24</f>
        <v>5.3824727502859493E-2</v>
      </c>
      <c r="NL24" s="547">
        <f t="shared" si="77"/>
        <v>-7.5272497140566053E-5</v>
      </c>
      <c r="NM24" s="548">
        <f t="shared" si="78"/>
        <v>-1.3965212827563259E-3</v>
      </c>
    </row>
    <row r="25" spans="2:377" ht="17.25" thickBot="1" x14ac:dyDescent="0.35">
      <c r="B25" s="549">
        <f>B24+1</f>
        <v>19</v>
      </c>
      <c r="C25" s="550" t="s">
        <v>252</v>
      </c>
      <c r="D25" s="550"/>
      <c r="E25" s="551"/>
      <c r="F25" s="955">
        <f>HY26</f>
        <v>205</v>
      </c>
      <c r="G25" s="956"/>
      <c r="H25" s="955">
        <f>HY26</f>
        <v>205</v>
      </c>
      <c r="I25" s="957"/>
      <c r="J25" s="956"/>
      <c r="K25" s="955">
        <f>KC26</f>
        <v>221</v>
      </c>
      <c r="L25" s="957"/>
      <c r="M25" s="956"/>
      <c r="N25" s="955">
        <f>KD26</f>
        <v>221</v>
      </c>
      <c r="O25" s="957"/>
      <c r="P25" s="956"/>
      <c r="Q25" s="900">
        <f>N25-F25</f>
        <v>16</v>
      </c>
      <c r="R25" s="552">
        <f>N25/F25-1</f>
        <v>7.8048780487804947E-2</v>
      </c>
      <c r="AL25" s="464"/>
      <c r="DX25" s="475"/>
      <c r="FG25" s="338">
        <f t="shared" si="84"/>
        <v>20</v>
      </c>
      <c r="FH25" s="474" t="s">
        <v>253</v>
      </c>
      <c r="FI25" s="476"/>
      <c r="FJ25" s="507"/>
      <c r="FK25" s="507"/>
      <c r="FL25" s="507"/>
      <c r="FM25" s="508"/>
      <c r="FN25" s="507"/>
      <c r="FO25" s="507"/>
      <c r="FP25" s="507"/>
      <c r="FQ25" s="507"/>
      <c r="FR25" s="507"/>
      <c r="FS25" s="103"/>
      <c r="FT25" s="408"/>
      <c r="HW25" s="456">
        <v>20</v>
      </c>
      <c r="HX25" s="553">
        <v>20</v>
      </c>
      <c r="HY25" s="553">
        <v>11</v>
      </c>
      <c r="HZ25" s="553">
        <v>11</v>
      </c>
      <c r="IA25" s="554">
        <v>373317692</v>
      </c>
      <c r="IB25" s="554">
        <v>369485441</v>
      </c>
      <c r="IC25" s="555">
        <f t="shared" si="5"/>
        <v>1</v>
      </c>
      <c r="ID25" s="555">
        <f t="shared" si="6"/>
        <v>0.98973461188118561</v>
      </c>
      <c r="IE25" s="556">
        <v>0</v>
      </c>
      <c r="IF25" s="556">
        <v>0</v>
      </c>
      <c r="IG25" s="556">
        <v>1</v>
      </c>
      <c r="IK25" s="557">
        <v>20</v>
      </c>
      <c r="IL25" s="558">
        <v>20</v>
      </c>
      <c r="IM25" s="559">
        <f t="shared" si="7"/>
        <v>0.98973461188118561</v>
      </c>
      <c r="IN25" s="458">
        <v>66979.06</v>
      </c>
      <c r="IO25" s="560">
        <f t="shared" si="29"/>
        <v>66291.493953266647</v>
      </c>
      <c r="IP25" s="458">
        <v>41579002</v>
      </c>
      <c r="IQ25" s="560">
        <v>37694016</v>
      </c>
      <c r="IR25" s="458">
        <v>17884950.9947</v>
      </c>
      <c r="IS25" s="560">
        <v>15085757</v>
      </c>
      <c r="IT25" s="458">
        <v>247500</v>
      </c>
      <c r="IU25" s="458">
        <v>247500</v>
      </c>
      <c r="IV25" s="458">
        <f t="shared" si="30"/>
        <v>18199430.054699998</v>
      </c>
      <c r="IW25" s="458">
        <f t="shared" si="30"/>
        <v>15399548.493953267</v>
      </c>
      <c r="IX25" s="314"/>
      <c r="IY25" s="315"/>
      <c r="IZ25" s="314"/>
      <c r="JA25" s="561">
        <v>20</v>
      </c>
      <c r="JB25" s="558">
        <v>20</v>
      </c>
      <c r="JC25" s="562">
        <f t="shared" si="8"/>
        <v>1</v>
      </c>
      <c r="JD25" s="563">
        <f t="shared" si="8"/>
        <v>0.98973461188118561</v>
      </c>
      <c r="JE25" s="458">
        <v>6270559.2375621554</v>
      </c>
      <c r="JF25" s="560">
        <f t="shared" si="70"/>
        <v>6206189.5132665634</v>
      </c>
      <c r="JG25" s="458">
        <v>329079.75049999997</v>
      </c>
      <c r="JH25" s="560">
        <f t="shared" si="31"/>
        <v>325701.61913907487</v>
      </c>
      <c r="JI25" s="458">
        <v>2349281.2134378431</v>
      </c>
      <c r="JJ25" s="560">
        <f t="shared" si="32"/>
        <v>2349281.2134378431</v>
      </c>
      <c r="JK25" s="458">
        <v>2518575.8474006681</v>
      </c>
      <c r="JL25" s="560">
        <v>2518575.8474006681</v>
      </c>
      <c r="JM25" s="458">
        <v>434017.47450000001</v>
      </c>
      <c r="JN25" s="560">
        <f>JM25*$ID25</f>
        <v>429562.11667390988</v>
      </c>
      <c r="JO25" s="458">
        <v>127293.87549999999</v>
      </c>
      <c r="JP25" s="560">
        <f t="shared" si="34"/>
        <v>125987.15446284445</v>
      </c>
      <c r="JQ25" s="458">
        <v>929248.59000000008</v>
      </c>
      <c r="JR25" s="560">
        <f t="shared" si="35"/>
        <v>919709.49256478902</v>
      </c>
      <c r="JS25" s="458">
        <v>1309487.1400000001</v>
      </c>
      <c r="JT25" s="560">
        <f t="shared" si="36"/>
        <v>1296044.7462713039</v>
      </c>
      <c r="JU25" s="458">
        <f t="shared" si="37"/>
        <v>14267543.128900668</v>
      </c>
      <c r="JV25" s="458">
        <f t="shared" si="37"/>
        <v>14171051.703217</v>
      </c>
      <c r="JW25" s="564">
        <f t="shared" si="9"/>
        <v>3.8353477920167904</v>
      </c>
      <c r="KA25" s="456">
        <v>20</v>
      </c>
      <c r="KB25" s="553">
        <v>20</v>
      </c>
      <c r="KC25" s="565">
        <f t="shared" si="10"/>
        <v>11</v>
      </c>
      <c r="KD25" s="566">
        <f t="shared" si="124"/>
        <v>11</v>
      </c>
      <c r="KE25" s="567">
        <f t="shared" si="12"/>
        <v>369485441</v>
      </c>
      <c r="KF25" s="567">
        <f t="shared" si="13"/>
        <v>383433086.11058539</v>
      </c>
      <c r="KG25" s="568">
        <f t="shared" si="38"/>
        <v>1</v>
      </c>
      <c r="KH25" s="568">
        <f t="shared" si="39"/>
        <v>1.0377488354421667</v>
      </c>
      <c r="KI25" s="568">
        <f t="shared" si="40"/>
        <v>0.96510859525294335</v>
      </c>
      <c r="KJ25" s="553" t="s">
        <v>256</v>
      </c>
      <c r="KK25" s="322"/>
      <c r="KL25" s="323"/>
      <c r="KM25" s="322"/>
      <c r="KN25" s="456">
        <v>20</v>
      </c>
      <c r="KO25" s="553">
        <v>20</v>
      </c>
      <c r="KP25" s="569" t="str">
        <f t="shared" si="14"/>
        <v>Q3</v>
      </c>
      <c r="KQ25" s="570">
        <f t="shared" si="15"/>
        <v>0.96510859525294335</v>
      </c>
      <c r="KR25" s="571">
        <f t="shared" si="41"/>
        <v>66291.493953266647</v>
      </c>
      <c r="KS25" s="571">
        <f t="shared" si="42"/>
        <v>63978.490606456158</v>
      </c>
      <c r="KT25" s="571">
        <f t="shared" si="16"/>
        <v>37694016</v>
      </c>
      <c r="KU25" s="571">
        <f t="shared" si="43"/>
        <v>41953754.539749309</v>
      </c>
      <c r="KV25" s="571">
        <f t="shared" si="17"/>
        <v>15085757</v>
      </c>
      <c r="KW25" s="571">
        <f t="shared" si="18"/>
        <v>23030418.438909981</v>
      </c>
      <c r="KX25" s="571">
        <f t="shared" si="44"/>
        <v>247500</v>
      </c>
      <c r="KY25" s="571">
        <f t="shared" si="45"/>
        <v>832359.07439460629</v>
      </c>
      <c r="KZ25" s="571">
        <f t="shared" si="46"/>
        <v>15399548.493953267</v>
      </c>
      <c r="LA25" s="571">
        <f t="shared" si="46"/>
        <v>23926756.003911044</v>
      </c>
      <c r="LB25" s="326"/>
      <c r="LC25" s="323"/>
      <c r="LD25" s="322"/>
      <c r="LE25" s="374">
        <f t="shared" si="71"/>
        <v>20</v>
      </c>
      <c r="LF25" s="375">
        <v>19</v>
      </c>
      <c r="LG25" s="376">
        <f t="shared" si="72"/>
        <v>1</v>
      </c>
      <c r="LH25" s="376">
        <f t="shared" si="72"/>
        <v>1.0377488354421667</v>
      </c>
      <c r="LI25" s="377">
        <v>106.45762205358784</v>
      </c>
      <c r="LJ25" s="290">
        <f t="shared" si="73"/>
        <v>4302512.8755897805</v>
      </c>
      <c r="LK25" s="377">
        <v>106.45762205358784</v>
      </c>
      <c r="LL25" s="290">
        <f t="shared" si="47"/>
        <v>209047.93027633379</v>
      </c>
      <c r="LM25" s="377">
        <v>106.45762205358784</v>
      </c>
      <c r="LN25" s="290">
        <f t="shared" si="48"/>
        <v>1440891.1269047759</v>
      </c>
      <c r="LO25" s="377">
        <v>118.614283549666</v>
      </c>
      <c r="LP25" s="290">
        <f t="shared" si="74"/>
        <v>2298651.595409513</v>
      </c>
      <c r="LQ25" s="377">
        <v>119.48337591187899</v>
      </c>
      <c r="LR25" s="290">
        <f t="shared" si="49"/>
        <v>113792.62342470176</v>
      </c>
      <c r="LS25" s="377">
        <v>157.07111615098</v>
      </c>
      <c r="LT25" s="290">
        <f t="shared" si="50"/>
        <v>91723.907818056439</v>
      </c>
      <c r="LU25" s="377">
        <v>112.15574935818501</v>
      </c>
      <c r="LV25" s="290">
        <f t="shared" si="51"/>
        <v>1024350.6616261062</v>
      </c>
      <c r="LW25" s="377">
        <v>116.939890710382</v>
      </c>
      <c r="LX25" s="378">
        <f t="shared" si="52"/>
        <v>1381271.8798933101</v>
      </c>
      <c r="LY25" s="379">
        <f t="shared" si="53"/>
        <v>11177146.018450504</v>
      </c>
      <c r="LZ25" s="379">
        <f t="shared" si="75"/>
        <v>10862242.600942576</v>
      </c>
      <c r="MA25" s="103"/>
      <c r="MB25" s="335"/>
      <c r="MD25" s="338">
        <v>20</v>
      </c>
      <c r="ME25" s="380">
        <v>20</v>
      </c>
      <c r="MF25" s="20">
        <f t="shared" si="19"/>
        <v>18199430.054699998</v>
      </c>
      <c r="MG25" s="20">
        <f t="shared" si="19"/>
        <v>15399548.493953267</v>
      </c>
      <c r="MH25" s="343">
        <f t="shared" si="20"/>
        <v>23926756.003911044</v>
      </c>
      <c r="MI25" s="20">
        <f t="shared" si="21"/>
        <v>14267543.128900668</v>
      </c>
      <c r="MJ25" s="20">
        <f t="shared" si="21"/>
        <v>14171051.703217</v>
      </c>
      <c r="MK25" s="343">
        <f t="shared" si="54"/>
        <v>13676603.802548589</v>
      </c>
      <c r="ML25" s="20">
        <f t="shared" si="55"/>
        <v>3931886.9257993307</v>
      </c>
      <c r="MM25" s="20">
        <f t="shared" si="55"/>
        <v>1228496.7907362673</v>
      </c>
      <c r="MN25" s="20">
        <f t="shared" si="55"/>
        <v>10250152.201362455</v>
      </c>
      <c r="MX25" s="483">
        <f>MX24+1</f>
        <v>19</v>
      </c>
      <c r="MY25" s="572" t="s">
        <v>254</v>
      </c>
      <c r="MZ25" s="31">
        <f>MZ21+MZ23-MZ10</f>
        <v>112894317.18039167</v>
      </c>
      <c r="NA25" s="573">
        <f>MZ25/$MZ$34*100</f>
        <v>5.1497254504117258</v>
      </c>
      <c r="NB25" s="572"/>
      <c r="NC25" s="574">
        <f>NC21+NC23-NC10</f>
        <v>112894317.18039167</v>
      </c>
      <c r="ND25" s="573">
        <f>NC25/$ND$34*100</f>
        <v>5.1497254504117258</v>
      </c>
      <c r="NH25" s="483">
        <f>NH24+1</f>
        <v>19</v>
      </c>
      <c r="NI25" s="31" t="str">
        <f>MY25</f>
        <v>Revenue Requirement</v>
      </c>
      <c r="NJ25" s="31">
        <v>137621699.16939428</v>
      </c>
      <c r="NK25" s="31">
        <f>MZ25</f>
        <v>112894317.18039167</v>
      </c>
      <c r="NL25" s="31">
        <f t="shared" si="77"/>
        <v>-24727381.989002615</v>
      </c>
      <c r="NM25" s="575">
        <f t="shared" si="78"/>
        <v>-0.17967647644407039</v>
      </c>
    </row>
    <row r="26" spans="2:377" ht="17.25" thickBot="1" x14ac:dyDescent="0.35">
      <c r="AL26" s="464"/>
      <c r="AN26" s="576"/>
      <c r="AO26" s="577"/>
      <c r="AQ26" s="91"/>
      <c r="AS26" s="578"/>
      <c r="AT26" s="578"/>
      <c r="AU26" s="91"/>
      <c r="AV26" s="578"/>
      <c r="AW26" s="578"/>
      <c r="AX26" s="578"/>
      <c r="AY26" s="91"/>
      <c r="AZ26" s="578"/>
      <c r="BA26" s="578"/>
      <c r="BB26" s="578"/>
      <c r="BC26" s="91"/>
      <c r="BD26" s="578"/>
      <c r="BE26" s="578"/>
      <c r="BF26" s="578"/>
      <c r="BG26" s="91"/>
      <c r="BH26" s="578"/>
      <c r="BI26" s="578"/>
      <c r="BJ26" s="578"/>
      <c r="BK26" s="91"/>
      <c r="BL26" s="578"/>
      <c r="BM26" s="578"/>
      <c r="BN26" s="578"/>
      <c r="BO26" s="91"/>
      <c r="BP26" s="578"/>
      <c r="BQ26" s="578"/>
      <c r="BR26" s="578"/>
      <c r="BS26" s="91"/>
      <c r="BT26" s="578"/>
      <c r="BU26" s="578"/>
      <c r="BV26" s="578"/>
      <c r="BW26" s="578"/>
      <c r="BX26" s="578"/>
      <c r="BY26" s="578"/>
      <c r="BZ26" s="578"/>
      <c r="CA26" s="578"/>
      <c r="CB26" s="578"/>
      <c r="CC26" s="578"/>
      <c r="CD26" s="578"/>
      <c r="CE26" s="578"/>
      <c r="CF26" s="578"/>
      <c r="CG26" s="578"/>
      <c r="DX26" s="475"/>
      <c r="EC26" s="579"/>
      <c r="FG26" s="283">
        <f t="shared" si="84"/>
        <v>21</v>
      </c>
      <c r="FH26" s="406"/>
      <c r="FI26" s="407" t="s">
        <v>255</v>
      </c>
      <c r="FJ26" s="17">
        <v>1612.63</v>
      </c>
      <c r="FK26" s="17">
        <v>54550.04</v>
      </c>
      <c r="FL26" s="17">
        <v>0</v>
      </c>
      <c r="FM26" s="290">
        <f t="shared" ref="FM26:FM31" si="126">FJ26+FL26+FK26</f>
        <v>56162.67</v>
      </c>
      <c r="FN26" s="17">
        <v>1612.63</v>
      </c>
      <c r="FO26" s="17">
        <v>54550.04</v>
      </c>
      <c r="FP26" s="17">
        <v>0</v>
      </c>
      <c r="FQ26" s="17">
        <v>56162.67</v>
      </c>
      <c r="FR26" s="17">
        <v>56162.67</v>
      </c>
      <c r="FS26" s="103"/>
      <c r="FT26" s="408"/>
      <c r="HW26" s="467">
        <v>21</v>
      </c>
      <c r="HX26" s="580" t="s">
        <v>72</v>
      </c>
      <c r="HY26" s="580">
        <f>SUM(HY6:HY25)</f>
        <v>205</v>
      </c>
      <c r="HZ26" s="580">
        <f>SUM(HZ6:HZ25)</f>
        <v>221</v>
      </c>
      <c r="IA26" s="581">
        <f>SUM(IA6:IA25)</f>
        <v>2083394612.0181818</v>
      </c>
      <c r="IB26" s="581">
        <f>SUM(IB6:IB25)</f>
        <v>2112495296</v>
      </c>
      <c r="IC26" s="582">
        <f t="shared" si="5"/>
        <v>1.0780487804878049</v>
      </c>
      <c r="ID26" s="582">
        <f t="shared" si="6"/>
        <v>1.013967917462179</v>
      </c>
      <c r="IE26" s="581"/>
      <c r="IF26" s="581"/>
      <c r="IG26" s="581"/>
      <c r="IH26" s="280"/>
      <c r="IJ26" s="493"/>
      <c r="IK26" s="583">
        <v>21</v>
      </c>
      <c r="IL26" s="584" t="s">
        <v>72</v>
      </c>
      <c r="IM26" s="585">
        <f t="shared" si="7"/>
        <v>1.013967917462179</v>
      </c>
      <c r="IN26" s="31">
        <f t="shared" ref="IN26:IU26" si="127">SUM(IN6:IN25)</f>
        <v>215937.90000000002</v>
      </c>
      <c r="IO26" s="586">
        <f t="shared" si="127"/>
        <v>214148.01155062864</v>
      </c>
      <c r="IP26" s="31">
        <f t="shared" si="127"/>
        <v>229512596.2469697</v>
      </c>
      <c r="IQ26" s="586">
        <f t="shared" si="127"/>
        <v>229425276</v>
      </c>
      <c r="IR26" s="31">
        <f t="shared" si="127"/>
        <v>97659849.12220636</v>
      </c>
      <c r="IS26" s="586">
        <f t="shared" si="127"/>
        <v>94967116</v>
      </c>
      <c r="IT26" s="31">
        <f t="shared" si="127"/>
        <v>4550161.0413039103</v>
      </c>
      <c r="IU26" s="586">
        <f t="shared" si="127"/>
        <v>4747991.9641978256</v>
      </c>
      <c r="IV26" s="31">
        <f>SUM(IN26,IR26,IT26)</f>
        <v>102425948.06351027</v>
      </c>
      <c r="IW26" s="31">
        <f>SUM(IO26,IS26,IU26)</f>
        <v>99929255.975748464</v>
      </c>
      <c r="IX26" s="587"/>
      <c r="IY26" s="588"/>
      <c r="IZ26" s="587"/>
      <c r="JA26" s="316">
        <v>21</v>
      </c>
      <c r="JB26" s="589" t="s">
        <v>72</v>
      </c>
      <c r="JC26" s="590">
        <f>IC26</f>
        <v>1.0780487804878049</v>
      </c>
      <c r="JD26" s="591">
        <f t="shared" ref="JD26" si="128">ID26</f>
        <v>1.013967917462179</v>
      </c>
      <c r="JE26" s="592">
        <f t="shared" ref="JE26:JT26" si="129">SUM(JE6:JE25)</f>
        <v>36384668.568564296</v>
      </c>
      <c r="JF26" s="593">
        <f t="shared" si="129"/>
        <v>36992330.313946411</v>
      </c>
      <c r="JG26" s="592">
        <f t="shared" si="129"/>
        <v>2147299.9196500001</v>
      </c>
      <c r="JH26" s="593">
        <f t="shared" si="129"/>
        <v>2193064.0614437284</v>
      </c>
      <c r="JI26" s="592">
        <f t="shared" si="129"/>
        <v>17229598.204603888</v>
      </c>
      <c r="JJ26" s="593">
        <f t="shared" si="129"/>
        <v>17704130.732731506</v>
      </c>
      <c r="JK26" s="592">
        <f t="shared" si="129"/>
        <v>20963340.954979222</v>
      </c>
      <c r="JL26" s="593">
        <f t="shared" si="129"/>
        <v>21765718.436968524</v>
      </c>
      <c r="JM26" s="592">
        <f t="shared" si="129"/>
        <v>2093939.2539242425</v>
      </c>
      <c r="JN26" s="593">
        <f t="shared" si="129"/>
        <v>2144213.8135649599</v>
      </c>
      <c r="JO26" s="592">
        <f t="shared" si="129"/>
        <v>1282057.8355257579</v>
      </c>
      <c r="JP26" s="593">
        <f t="shared" si="129"/>
        <v>1322857.4076787899</v>
      </c>
      <c r="JQ26" s="592">
        <f t="shared" si="129"/>
        <v>4946746.7976090908</v>
      </c>
      <c r="JR26" s="593">
        <f t="shared" si="129"/>
        <v>4997847.5990450596</v>
      </c>
      <c r="JS26" s="592">
        <f t="shared" si="129"/>
        <v>9669260.545699697</v>
      </c>
      <c r="JT26" s="593">
        <f t="shared" si="129"/>
        <v>9826395.2532786801</v>
      </c>
      <c r="JU26" s="592">
        <f t="shared" si="37"/>
        <v>94716912.080556184</v>
      </c>
      <c r="JV26" s="592">
        <f>JF26+JH26+JJ26+JL26+JR26+JT26+JN26+JP26</f>
        <v>96946557.618657649</v>
      </c>
      <c r="JW26" s="594">
        <f t="shared" si="9"/>
        <v>4.5891963784357532</v>
      </c>
      <c r="JX26" s="280"/>
      <c r="JY26" s="595"/>
      <c r="KA26" s="467">
        <v>21</v>
      </c>
      <c r="KB26" s="580" t="s">
        <v>72</v>
      </c>
      <c r="KC26" s="526">
        <f>SUM(KC6:KC25)</f>
        <v>221</v>
      </c>
      <c r="KD26" s="526">
        <f>SUM(KD6:KD25)</f>
        <v>221</v>
      </c>
      <c r="KE26" s="596">
        <f>SUM(KE6:KE25)</f>
        <v>2112495296</v>
      </c>
      <c r="KF26" s="596">
        <f>'ABDA 3 month Phase II'!M28</f>
        <v>2192239533.301055</v>
      </c>
      <c r="KG26" s="597">
        <f t="shared" si="38"/>
        <v>1</v>
      </c>
      <c r="KH26" s="597">
        <f t="shared" si="39"/>
        <v>1.0377488354421667</v>
      </c>
      <c r="KI26" s="597">
        <f>LZ27/LY28</f>
        <v>0.97065646326046273</v>
      </c>
      <c r="KJ26" s="598" t="s">
        <v>256</v>
      </c>
      <c r="KK26" s="599"/>
      <c r="KL26" s="600"/>
      <c r="KM26" s="599"/>
      <c r="KN26" s="283">
        <v>21</v>
      </c>
      <c r="KO26" s="601" t="s">
        <v>72</v>
      </c>
      <c r="KP26" s="602" t="str">
        <f>KJ26</f>
        <v>Q3</v>
      </c>
      <c r="KQ26" s="603">
        <f t="shared" si="15"/>
        <v>0.97065646326046273</v>
      </c>
      <c r="KR26" s="28">
        <f>SUM(KR6:KR25)</f>
        <v>214148.01155062864</v>
      </c>
      <c r="KS26" s="28">
        <f>SUM(KS6:KS25)</f>
        <v>205807.70691842429</v>
      </c>
      <c r="KT26" s="28">
        <f t="shared" si="16"/>
        <v>229425276</v>
      </c>
      <c r="KU26" s="28">
        <v>239866309.41368827</v>
      </c>
      <c r="KV26" s="28">
        <f>SUM(KV6:KV25)</f>
        <v>94967116</v>
      </c>
      <c r="KW26" s="28">
        <v>131674066.73842122</v>
      </c>
      <c r="KX26" s="28">
        <f>SUM(KX6:KX25)</f>
        <v>4747991.9641978256</v>
      </c>
      <c r="KY26" s="28">
        <v>4758928.0499999989</v>
      </c>
      <c r="KZ26" s="28">
        <f>SUM(KR26,KV26,KX26)</f>
        <v>99929255.975748464</v>
      </c>
      <c r="LA26" s="28">
        <f>SUM(KS26,KW26,KY26)</f>
        <v>136638802.49533963</v>
      </c>
      <c r="LB26" s="599"/>
      <c r="LC26" s="600"/>
      <c r="LD26" s="599"/>
      <c r="LE26" s="364">
        <f t="shared" si="71"/>
        <v>21</v>
      </c>
      <c r="LF26" s="365">
        <v>20</v>
      </c>
      <c r="LG26" s="411">
        <f t="shared" si="72"/>
        <v>1</v>
      </c>
      <c r="LH26" s="411">
        <f t="shared" si="72"/>
        <v>1.0377488354421667</v>
      </c>
      <c r="LI26" s="412">
        <v>106.45762205358784</v>
      </c>
      <c r="LJ26" s="343">
        <f t="shared" si="73"/>
        <v>5680567.6485297577</v>
      </c>
      <c r="LK26" s="412">
        <v>106.45762205358784</v>
      </c>
      <c r="LL26" s="560">
        <f t="shared" si="47"/>
        <v>298116.91647510964</v>
      </c>
      <c r="LM26" s="412">
        <v>106.45762205358784</v>
      </c>
      <c r="LN26" s="343">
        <f t="shared" si="48"/>
        <v>2072094.0041967786</v>
      </c>
      <c r="LO26" s="412">
        <v>118.614283549666</v>
      </c>
      <c r="LP26" s="560">
        <f t="shared" si="74"/>
        <v>2634488.8491165428</v>
      </c>
      <c r="LQ26" s="412">
        <v>119.48337591187899</v>
      </c>
      <c r="LR26" s="560">
        <f t="shared" si="49"/>
        <v>466055.42578688863</v>
      </c>
      <c r="LS26" s="412">
        <v>157.07111615098</v>
      </c>
      <c r="LT26" s="560">
        <f t="shared" si="50"/>
        <v>118876.04465425055</v>
      </c>
      <c r="LU26" s="412">
        <v>112.15574935818501</v>
      </c>
      <c r="LV26" s="560">
        <f t="shared" si="51"/>
        <v>1003374.5780278069</v>
      </c>
      <c r="LW26" s="412">
        <v>116.939890710382</v>
      </c>
      <c r="LX26" s="343">
        <f t="shared" si="52"/>
        <v>1403030.3357614542</v>
      </c>
      <c r="LY26" s="20">
        <f t="shared" si="53"/>
        <v>14171051.703217</v>
      </c>
      <c r="LZ26" s="20">
        <f t="shared" si="75"/>
        <v>13676603.802548589</v>
      </c>
      <c r="MA26" s="103"/>
      <c r="MD26" s="283">
        <v>21</v>
      </c>
      <c r="ME26" s="604" t="s">
        <v>72</v>
      </c>
      <c r="MF26" s="28">
        <f>SUM(MF6:MF25)</f>
        <v>102425948.06351028</v>
      </c>
      <c r="MG26" s="28">
        <f t="shared" ref="MG26:MK26" si="130">SUM(MG6:MG25)</f>
        <v>99929255.975748464</v>
      </c>
      <c r="MH26" s="497">
        <f t="shared" si="130"/>
        <v>136638802.49533966</v>
      </c>
      <c r="MI26" s="28">
        <f t="shared" si="130"/>
        <v>94716912.080556199</v>
      </c>
      <c r="MJ26" s="28">
        <f t="shared" si="130"/>
        <v>96946557.618657649</v>
      </c>
      <c r="MK26" s="497">
        <f t="shared" si="130"/>
        <v>94101802.743402898</v>
      </c>
      <c r="ML26" s="28">
        <f t="shared" si="55"/>
        <v>7709035.9829540849</v>
      </c>
      <c r="MM26" s="28">
        <f t="shared" si="55"/>
        <v>2982698.3570908159</v>
      </c>
      <c r="MN26" s="28">
        <f t="shared" si="55"/>
        <v>42536999.751936764</v>
      </c>
      <c r="MX26" s="338">
        <f>MX25+1</f>
        <v>20</v>
      </c>
      <c r="MY26" s="20" t="s">
        <v>257</v>
      </c>
      <c r="MZ26" s="20">
        <v>0</v>
      </c>
      <c r="NA26" s="414">
        <f>MZ26/$MZ$34*100</f>
        <v>0</v>
      </c>
      <c r="NB26" s="91"/>
      <c r="NC26" s="15">
        <f>MZ26</f>
        <v>0</v>
      </c>
      <c r="ND26" s="414">
        <f>NC26/$MZ$34*100</f>
        <v>0</v>
      </c>
      <c r="NH26" s="338">
        <f>NH25+1</f>
        <v>20</v>
      </c>
      <c r="NI26" s="20" t="s">
        <v>257</v>
      </c>
      <c r="NJ26" s="20">
        <v>0</v>
      </c>
      <c r="NK26" s="20">
        <f>MZ26</f>
        <v>0</v>
      </c>
      <c r="NL26" s="20">
        <f t="shared" si="77"/>
        <v>0</v>
      </c>
      <c r="NM26" s="352">
        <f>IFERROR(NL26/NJ26,0)</f>
        <v>0</v>
      </c>
    </row>
    <row r="27" spans="2:377" ht="17.25" thickBot="1" x14ac:dyDescent="0.35">
      <c r="G27" s="107"/>
      <c r="H27" s="107"/>
      <c r="I27" s="107"/>
      <c r="J27" s="107"/>
      <c r="K27" s="107"/>
      <c r="L27" s="107"/>
      <c r="O27" s="107"/>
      <c r="AL27" s="464"/>
      <c r="AN27" s="438"/>
      <c r="AS27" s="105"/>
      <c r="AT27" s="350"/>
      <c r="AV27" s="105"/>
      <c r="AW27" s="350"/>
      <c r="AX27" s="351"/>
      <c r="AZ27" s="105"/>
      <c r="BA27" s="350"/>
      <c r="BB27" s="351"/>
      <c r="BD27" s="105"/>
      <c r="BE27" s="350"/>
      <c r="BF27" s="351"/>
      <c r="BH27" s="105"/>
      <c r="BI27" s="350"/>
      <c r="BJ27" s="351"/>
      <c r="BL27" s="105"/>
      <c r="BM27" s="350"/>
      <c r="BN27" s="351"/>
      <c r="BP27" s="105"/>
      <c r="BQ27" s="350"/>
      <c r="BR27" s="351"/>
      <c r="BT27" s="105"/>
      <c r="BU27" s="350"/>
      <c r="BV27" s="351"/>
      <c r="BW27" s="351"/>
      <c r="BX27" s="351"/>
      <c r="BY27" s="351"/>
      <c r="BZ27" s="351"/>
      <c r="CA27" s="351"/>
      <c r="CB27" s="351"/>
      <c r="CC27" s="105"/>
      <c r="CE27" s="351"/>
      <c r="CF27" s="351"/>
      <c r="CG27" s="351"/>
      <c r="EA27" s="579"/>
      <c r="FG27" s="338">
        <f t="shared" si="84"/>
        <v>22</v>
      </c>
      <c r="FH27" s="360"/>
      <c r="FI27" s="361" t="s">
        <v>258</v>
      </c>
      <c r="FJ27" s="20">
        <v>0</v>
      </c>
      <c r="FK27" s="20">
        <v>0</v>
      </c>
      <c r="FL27" s="20">
        <v>8076.07</v>
      </c>
      <c r="FM27" s="343">
        <f t="shared" si="126"/>
        <v>8076.07</v>
      </c>
      <c r="FN27" s="20">
        <v>0</v>
      </c>
      <c r="FO27" s="20">
        <v>0</v>
      </c>
      <c r="FP27" s="20">
        <v>8076.07</v>
      </c>
      <c r="FQ27" s="20">
        <v>8076.07</v>
      </c>
      <c r="FR27" s="20">
        <v>8076.07</v>
      </c>
      <c r="FS27" s="103"/>
      <c r="FT27" s="408"/>
      <c r="HW27" s="605"/>
      <c r="IJ27" s="475"/>
      <c r="IK27" s="606">
        <v>22</v>
      </c>
      <c r="IL27" s="607" t="s">
        <v>259</v>
      </c>
      <c r="IM27" s="608"/>
      <c r="IN27" s="609"/>
      <c r="IO27" s="610">
        <f>IO26/IN26</f>
        <v>0.99171109634125654</v>
      </c>
      <c r="IP27" s="609"/>
      <c r="IQ27" s="610">
        <f>IQ26/IP26</f>
        <v>0.99961954050279778</v>
      </c>
      <c r="IR27" s="609"/>
      <c r="IS27" s="610">
        <f>IS26/IR26</f>
        <v>0.97242742901602464</v>
      </c>
      <c r="IT27" s="609"/>
      <c r="IU27" s="610">
        <f>IU26/IT26</f>
        <v>1.043477784873571</v>
      </c>
      <c r="IV27" s="609"/>
      <c r="IW27" s="611">
        <f>IW26/IV26</f>
        <v>0.97562441807994094</v>
      </c>
      <c r="IX27" s="612"/>
      <c r="IY27" s="613"/>
      <c r="IZ27" s="612"/>
      <c r="JA27" s="614">
        <v>22</v>
      </c>
      <c r="JB27" s="609" t="s">
        <v>259</v>
      </c>
      <c r="JC27" s="615"/>
      <c r="JD27" s="615"/>
      <c r="JE27" s="616"/>
      <c r="JF27" s="617">
        <f>JF26/JE26</f>
        <v>1.0167010383573241</v>
      </c>
      <c r="JG27" s="616"/>
      <c r="JH27" s="617">
        <f>JH26/JG26</f>
        <v>1.0213124125674944</v>
      </c>
      <c r="JI27" s="616"/>
      <c r="JJ27" s="617">
        <f>JJ26/JI26</f>
        <v>1.0275417059929359</v>
      </c>
      <c r="JK27" s="616"/>
      <c r="JL27" s="617">
        <f>JL26/JK26</f>
        <v>1.038275267463926</v>
      </c>
      <c r="JM27" s="618"/>
      <c r="JN27" s="617">
        <f>JN26/JM26</f>
        <v>1.0240095597551353</v>
      </c>
      <c r="JO27" s="618"/>
      <c r="JP27" s="617">
        <f>JP26/JO26</f>
        <v>1.0318235036068404</v>
      </c>
      <c r="JQ27" s="616"/>
      <c r="JR27" s="617">
        <f>JR26/JQ26</f>
        <v>1.0103301833561944</v>
      </c>
      <c r="JS27" s="616"/>
      <c r="JT27" s="617">
        <f>JT26/JS26</f>
        <v>1.0162509539210698</v>
      </c>
      <c r="JU27" s="618"/>
      <c r="JV27" s="619">
        <f>JV26/JU26</f>
        <v>1.0235400995358164</v>
      </c>
      <c r="JW27" s="619"/>
      <c r="JX27" s="351"/>
      <c r="JY27" s="464"/>
      <c r="KE27" s="350"/>
      <c r="KL27" s="620"/>
      <c r="KM27" s="621"/>
      <c r="KN27" s="549">
        <v>22</v>
      </c>
      <c r="KO27" s="622" t="s">
        <v>260</v>
      </c>
      <c r="KP27" s="622"/>
      <c r="KQ27" s="622"/>
      <c r="KR27" s="618"/>
      <c r="KS27" s="623">
        <f>KS26/KR26</f>
        <v>0.96105355089775113</v>
      </c>
      <c r="KT27" s="616"/>
      <c r="KU27" s="623">
        <f>KU26/KT26</f>
        <v>1.045509516630976</v>
      </c>
      <c r="KV27" s="616"/>
      <c r="KW27" s="623">
        <f>KW26/KV26</f>
        <v>1.386522748973668</v>
      </c>
      <c r="KX27" s="624"/>
      <c r="KY27" s="624">
        <f>KY26/KX26</f>
        <v>1.0023033075634156</v>
      </c>
      <c r="KZ27" s="616"/>
      <c r="LA27" s="624">
        <f>LA26/KZ26</f>
        <v>1.3673553471517901</v>
      </c>
      <c r="LB27" s="621"/>
      <c r="LC27" s="620"/>
      <c r="LD27" s="621"/>
      <c r="LE27" s="625">
        <f t="shared" si="71"/>
        <v>22</v>
      </c>
      <c r="LF27" s="626" t="s">
        <v>72</v>
      </c>
      <c r="LG27" s="627">
        <f t="shared" si="72"/>
        <v>1</v>
      </c>
      <c r="LH27" s="627">
        <f t="shared" si="72"/>
        <v>1.0377488354421667</v>
      </c>
      <c r="LI27" s="628"/>
      <c r="LJ27" s="629">
        <f>SUM(LJ7:LJ26)</f>
        <v>33880818.159826785</v>
      </c>
      <c r="LK27" s="630"/>
      <c r="LL27" s="631">
        <f>SUM(LL7:LL26)</f>
        <v>2029437.6824085335</v>
      </c>
      <c r="LM27" s="632"/>
      <c r="LN27" s="629">
        <f>SUM(LN7:LN26)</f>
        <v>15711197.861928774</v>
      </c>
      <c r="LO27" s="633"/>
      <c r="LP27" s="631">
        <f>SUM(LP7:LP26)</f>
        <v>22755368.059679482</v>
      </c>
      <c r="LQ27" s="634"/>
      <c r="LR27" s="631">
        <f>SUM(LR7:LR26)</f>
        <v>2326107.2199179931</v>
      </c>
      <c r="LS27" s="634"/>
      <c r="LT27" s="631">
        <f>SUM(LT7:LT26)</f>
        <v>1251235.7491226676</v>
      </c>
      <c r="LU27" s="634"/>
      <c r="LV27" s="631">
        <f>SUM(LV7:LV26)</f>
        <v>5496829.7548589967</v>
      </c>
      <c r="LW27" s="634"/>
      <c r="LX27" s="629">
        <f>SUM(LX7:LX26)</f>
        <v>10650808.255659647</v>
      </c>
      <c r="LY27" s="631"/>
      <c r="LZ27" s="631">
        <f>LJ27+LL27+LN27+LP27+LV27+LX27+LR27+LT27</f>
        <v>94101802.743402898</v>
      </c>
      <c r="MA27" s="103"/>
      <c r="MB27" s="635"/>
      <c r="MD27" s="475"/>
      <c r="MF27" s="636" t="s">
        <v>261</v>
      </c>
      <c r="MG27" s="637"/>
      <c r="MH27" s="305"/>
      <c r="MI27" s="305"/>
      <c r="MJ27" s="305"/>
      <c r="MK27" s="305"/>
      <c r="ML27" s="305"/>
      <c r="MM27" s="305"/>
      <c r="MN27" s="305">
        <f>MN26-MM26</f>
        <v>39554301.394845948</v>
      </c>
      <c r="MX27" s="483">
        <f>MX26+1</f>
        <v>21</v>
      </c>
      <c r="MY27" s="32" t="s">
        <v>262</v>
      </c>
      <c r="MZ27" s="32">
        <v>0</v>
      </c>
      <c r="NA27" s="638">
        <f>MZ27/$MZ$34*100</f>
        <v>0</v>
      </c>
      <c r="NB27" s="382"/>
      <c r="NC27" s="26">
        <f>MZ27</f>
        <v>0</v>
      </c>
      <c r="ND27" s="638">
        <f>NC27/$MZ$34*100</f>
        <v>0</v>
      </c>
      <c r="NH27" s="483">
        <f>NH26+1</f>
        <v>21</v>
      </c>
      <c r="NI27" s="32" t="s">
        <v>262</v>
      </c>
      <c r="NJ27" s="32">
        <v>0</v>
      </c>
      <c r="NK27" s="32">
        <v>0</v>
      </c>
      <c r="NL27" s="32">
        <f t="shared" si="77"/>
        <v>0</v>
      </c>
      <c r="NM27" s="575">
        <f>IFERROR(NL27/NJ27,0)</f>
        <v>0</v>
      </c>
    </row>
    <row r="28" spans="2:377" ht="17.25" thickBot="1" x14ac:dyDescent="0.35">
      <c r="AL28" s="464"/>
      <c r="AN28" s="438"/>
      <c r="AS28" s="105"/>
      <c r="AT28" s="350"/>
      <c r="AV28" s="105"/>
      <c r="AW28" s="350"/>
      <c r="AX28" s="351"/>
      <c r="AZ28" s="105"/>
      <c r="BA28" s="350"/>
      <c r="BB28" s="351"/>
      <c r="BD28" s="105"/>
      <c r="BE28" s="350"/>
      <c r="BF28" s="351"/>
      <c r="BH28" s="105"/>
      <c r="BI28" s="350"/>
      <c r="BJ28" s="351"/>
      <c r="BL28" s="105"/>
      <c r="BM28" s="350"/>
      <c r="BN28" s="351"/>
      <c r="BP28" s="105"/>
      <c r="BQ28" s="350"/>
      <c r="BR28" s="351"/>
      <c r="BT28" s="105"/>
      <c r="BU28" s="350"/>
      <c r="BV28" s="351"/>
      <c r="BW28" s="351"/>
      <c r="BX28" s="351"/>
      <c r="BY28" s="351"/>
      <c r="BZ28" s="351"/>
      <c r="CA28" s="351"/>
      <c r="CB28" s="351"/>
      <c r="CC28" s="105"/>
      <c r="CE28" s="351"/>
      <c r="CF28" s="351"/>
      <c r="CG28" s="351"/>
      <c r="FG28" s="283">
        <f t="shared" si="84"/>
        <v>23</v>
      </c>
      <c r="FH28" s="406"/>
      <c r="FI28" s="407" t="s">
        <v>263</v>
      </c>
      <c r="FJ28" s="17">
        <v>78564</v>
      </c>
      <c r="FK28" s="17">
        <v>249993.75</v>
      </c>
      <c r="FL28" s="17">
        <v>20068</v>
      </c>
      <c r="FM28" s="290">
        <f t="shared" si="126"/>
        <v>348625.75</v>
      </c>
      <c r="FN28" s="17">
        <v>0</v>
      </c>
      <c r="FO28" s="17">
        <v>0</v>
      </c>
      <c r="FP28" s="17">
        <v>0</v>
      </c>
      <c r="FQ28" s="17">
        <v>0</v>
      </c>
      <c r="FR28" s="17">
        <v>0</v>
      </c>
      <c r="FS28" s="103"/>
      <c r="FT28" s="408"/>
      <c r="II28" s="595"/>
      <c r="IQ28" s="537"/>
      <c r="IS28" s="537"/>
      <c r="IT28" s="537"/>
      <c r="IU28" s="537"/>
      <c r="IW28" s="537"/>
      <c r="JU28" s="639"/>
      <c r="KL28" s="640"/>
      <c r="KM28" s="641"/>
      <c r="KU28" s="537"/>
      <c r="KZ28" s="641"/>
      <c r="LA28" s="641"/>
      <c r="LB28" s="641"/>
      <c r="LC28" s="640"/>
      <c r="LD28" s="641"/>
      <c r="LE28" s="642">
        <f t="shared" si="71"/>
        <v>23</v>
      </c>
      <c r="LF28" s="622" t="s">
        <v>260</v>
      </c>
      <c r="LG28" s="643"/>
      <c r="LH28" s="644"/>
      <c r="LI28" s="645">
        <f>JF26</f>
        <v>36992330.313946411</v>
      </c>
      <c r="LJ28" s="623">
        <f>LJ27/LI28</f>
        <v>0.91588764136476797</v>
      </c>
      <c r="LK28" s="645">
        <f>JH26</f>
        <v>2193064.0614437284</v>
      </c>
      <c r="LL28" s="623">
        <f>LL27/LK28</f>
        <v>0.92538914758035973</v>
      </c>
      <c r="LM28" s="645">
        <f>JJ26</f>
        <v>17704130.732731506</v>
      </c>
      <c r="LN28" s="623">
        <f>LN27/LM28</f>
        <v>0.8874311932684622</v>
      </c>
      <c r="LO28" s="623"/>
      <c r="LP28" s="623">
        <f>LP27/JL26</f>
        <v>1.0454682727600695</v>
      </c>
      <c r="LQ28" s="645">
        <f>JN26</f>
        <v>2144213.8135649599</v>
      </c>
      <c r="LR28" s="623">
        <f>LR27/LQ28</f>
        <v>1.0848298827301266</v>
      </c>
      <c r="LS28" s="645">
        <f>JP26</f>
        <v>1322857.4076787899</v>
      </c>
      <c r="LT28" s="623">
        <f>LT27/LS28</f>
        <v>0.94585836830154169</v>
      </c>
      <c r="LU28" s="645">
        <f>JR26</f>
        <v>4997847.5990450596</v>
      </c>
      <c r="LV28" s="623">
        <f>LV27/LU28</f>
        <v>1.0998394100510944</v>
      </c>
      <c r="LW28" s="645">
        <f>JT26</f>
        <v>9826395.2532786801</v>
      </c>
      <c r="LX28" s="623">
        <f>LX27/LW28</f>
        <v>1.0838978059737514</v>
      </c>
      <c r="LY28" s="645">
        <f>JV26</f>
        <v>96946557.618657649</v>
      </c>
      <c r="LZ28" s="624">
        <f>LZ27/LY28</f>
        <v>0.97065646326046273</v>
      </c>
      <c r="MA28" s="646"/>
      <c r="MX28" s="338">
        <f t="shared" ref="MX28:MX31" si="131">MX27+1</f>
        <v>22</v>
      </c>
      <c r="MY28" s="647" t="s">
        <v>264</v>
      </c>
      <c r="MZ28" s="648">
        <f>SUM(MZ25:MZ27)</f>
        <v>112894317.18039167</v>
      </c>
      <c r="NA28" s="649">
        <f>MZ28/$MZ$34*100</f>
        <v>5.1497254504117258</v>
      </c>
      <c r="NB28" s="474"/>
      <c r="NC28" s="650">
        <f>SUM(NC25:NC27)</f>
        <v>112894317.18039167</v>
      </c>
      <c r="ND28" s="649">
        <f>NC28/$MZ$34*100</f>
        <v>5.1497254504117258</v>
      </c>
      <c r="NH28" s="338">
        <f t="shared" ref="NH28:NH32" si="132">NH27+1</f>
        <v>22</v>
      </c>
      <c r="NI28" s="647" t="s">
        <v>264</v>
      </c>
      <c r="NJ28" s="33">
        <v>137621699.16939428</v>
      </c>
      <c r="NK28" s="648">
        <f>NK25+NK26+NK27</f>
        <v>112894317.18039167</v>
      </c>
      <c r="NL28" s="479">
        <f t="shared" si="77"/>
        <v>-24727381.989002615</v>
      </c>
      <c r="NM28" s="352">
        <f t="shared" si="78"/>
        <v>-0.17967647644407039</v>
      </c>
    </row>
    <row r="29" spans="2:377" x14ac:dyDescent="0.3">
      <c r="AL29" s="464"/>
      <c r="AN29" s="438"/>
      <c r="AS29" s="105"/>
      <c r="AT29" s="350"/>
      <c r="AV29" s="105"/>
      <c r="AW29" s="350"/>
      <c r="AX29" s="351"/>
      <c r="AZ29" s="105"/>
      <c r="BA29" s="350"/>
      <c r="BB29" s="351"/>
      <c r="BD29" s="105"/>
      <c r="BE29" s="350"/>
      <c r="BF29" s="351"/>
      <c r="BH29" s="105"/>
      <c r="BI29" s="350"/>
      <c r="BJ29" s="351"/>
      <c r="BL29" s="105"/>
      <c r="BM29" s="350"/>
      <c r="BN29" s="351"/>
      <c r="BP29" s="105"/>
      <c r="BQ29" s="350"/>
      <c r="BR29" s="351"/>
      <c r="BT29" s="105"/>
      <c r="BU29" s="350"/>
      <c r="BV29" s="351"/>
      <c r="BW29" s="351"/>
      <c r="BX29" s="351"/>
      <c r="BY29" s="351"/>
      <c r="BZ29" s="351"/>
      <c r="CA29" s="351"/>
      <c r="CB29" s="351"/>
      <c r="CC29" s="105"/>
      <c r="CE29" s="351"/>
      <c r="CF29" s="351"/>
      <c r="CG29" s="351"/>
      <c r="FG29" s="338">
        <f t="shared" si="84"/>
        <v>24</v>
      </c>
      <c r="FH29" s="360"/>
      <c r="FI29" s="361" t="s">
        <v>265</v>
      </c>
      <c r="FJ29" s="20">
        <v>28.81</v>
      </c>
      <c r="FK29" s="20">
        <v>30975.599999999999</v>
      </c>
      <c r="FL29" s="20">
        <v>53054.5</v>
      </c>
      <c r="FM29" s="343">
        <f t="shared" si="126"/>
        <v>84058.91</v>
      </c>
      <c r="FN29" s="20">
        <v>28.81</v>
      </c>
      <c r="FO29" s="20">
        <v>30975.599999999999</v>
      </c>
      <c r="FP29" s="20">
        <v>53054.5</v>
      </c>
      <c r="FQ29" s="20">
        <v>84058.91</v>
      </c>
      <c r="FR29" s="20">
        <v>84058.91</v>
      </c>
      <c r="FS29" s="103"/>
      <c r="FT29" s="408"/>
      <c r="JX29" s="351"/>
      <c r="JY29" s="464"/>
      <c r="KL29" s="640"/>
      <c r="KM29" s="641"/>
      <c r="KN29" s="641"/>
      <c r="KO29" s="641"/>
      <c r="KP29" s="641"/>
      <c r="KQ29" s="641"/>
      <c r="KR29" s="641"/>
      <c r="KT29" s="641"/>
      <c r="KU29" s="651"/>
      <c r="KV29" s="641"/>
      <c r="KW29" s="651"/>
      <c r="KX29" s="651"/>
      <c r="KY29" s="651"/>
      <c r="KZ29" s="641"/>
      <c r="LA29" s="641"/>
      <c r="LB29" s="641"/>
      <c r="LC29" s="640"/>
      <c r="LD29" s="641"/>
      <c r="LJ29" s="351"/>
      <c r="LL29" s="351"/>
      <c r="LN29" s="351"/>
      <c r="LO29" s="351"/>
      <c r="LP29" s="351"/>
      <c r="LQ29" s="351"/>
      <c r="LR29" s="351"/>
      <c r="LS29" s="351"/>
      <c r="LT29" s="351"/>
      <c r="LV29" s="351"/>
      <c r="LX29" s="351"/>
      <c r="LZ29" s="351"/>
      <c r="MA29" s="107"/>
      <c r="MX29" s="283">
        <f t="shared" si="131"/>
        <v>23</v>
      </c>
      <c r="MY29" s="444" t="s">
        <v>266</v>
      </c>
      <c r="MZ29" s="652">
        <f>MZ11</f>
        <v>4758928.0499999989</v>
      </c>
      <c r="NA29" s="509">
        <f t="shared" ref="NA29" si="133">MZ29/$MZ$34*100</f>
        <v>0.21708066010624519</v>
      </c>
      <c r="NB29" s="652">
        <f t="shared" ref="NB29:NC29" si="134">NB11</f>
        <v>0</v>
      </c>
      <c r="NC29" s="653">
        <f t="shared" si="134"/>
        <v>4758928.0499999989</v>
      </c>
      <c r="ND29" s="509">
        <f t="shared" ref="ND29" si="135">NC29/$MZ$34*100</f>
        <v>0.21708066010624519</v>
      </c>
      <c r="NH29" s="283">
        <f t="shared" si="132"/>
        <v>23</v>
      </c>
      <c r="NI29" s="444" t="s">
        <v>266</v>
      </c>
      <c r="NJ29" s="34">
        <v>4822773.09</v>
      </c>
      <c r="NK29" s="652">
        <f>MZ29</f>
        <v>4758928.0499999989</v>
      </c>
      <c r="NL29" s="28">
        <f t="shared" si="77"/>
        <v>-63845.040000000969</v>
      </c>
      <c r="NM29" s="395">
        <f t="shared" si="78"/>
        <v>-1.3238242564715183E-2</v>
      </c>
    </row>
    <row r="30" spans="2:377" x14ac:dyDescent="0.3">
      <c r="AL30" s="464"/>
      <c r="AN30" s="438"/>
      <c r="AS30" s="105"/>
      <c r="AT30" s="350"/>
      <c r="AV30" s="105"/>
      <c r="AW30" s="350"/>
      <c r="AX30" s="351"/>
      <c r="AZ30" s="105"/>
      <c r="BA30" s="350"/>
      <c r="BB30" s="351"/>
      <c r="BD30" s="105"/>
      <c r="BE30" s="350"/>
      <c r="BF30" s="351"/>
      <c r="BH30" s="105"/>
      <c r="BI30" s="350"/>
      <c r="BJ30" s="351"/>
      <c r="BL30" s="105"/>
      <c r="BM30" s="350"/>
      <c r="BN30" s="351"/>
      <c r="BP30" s="105"/>
      <c r="BQ30" s="350"/>
      <c r="BR30" s="351"/>
      <c r="BT30" s="105"/>
      <c r="BU30" s="350"/>
      <c r="BV30" s="351"/>
      <c r="BW30" s="351"/>
      <c r="BX30" s="351"/>
      <c r="BY30" s="351"/>
      <c r="BZ30" s="351"/>
      <c r="CA30" s="351"/>
      <c r="CB30" s="351"/>
      <c r="CC30" s="105"/>
      <c r="CE30" s="351"/>
      <c r="CF30" s="351"/>
      <c r="CG30" s="351"/>
      <c r="FG30" s="283">
        <f t="shared" si="84"/>
        <v>25</v>
      </c>
      <c r="FH30" s="406"/>
      <c r="FI30" s="407" t="s">
        <v>267</v>
      </c>
      <c r="FJ30" s="17">
        <v>265316.65460000001</v>
      </c>
      <c r="FK30" s="17">
        <v>40329.020000000004</v>
      </c>
      <c r="FL30" s="17">
        <v>139233.63999999998</v>
      </c>
      <c r="FM30" s="290">
        <f t="shared" si="126"/>
        <v>444879.31460000004</v>
      </c>
      <c r="FN30" s="17">
        <v>266750.55460000003</v>
      </c>
      <c r="FO30" s="17">
        <v>40329.020000000011</v>
      </c>
      <c r="FP30" s="17">
        <v>139233.64000000001</v>
      </c>
      <c r="FQ30" s="17">
        <v>446313.21460000006</v>
      </c>
      <c r="FR30" s="17">
        <v>446313.21460000006</v>
      </c>
      <c r="FS30" s="103"/>
      <c r="FT30" s="408"/>
      <c r="JE30" s="20"/>
      <c r="JF30" s="20"/>
      <c r="JG30" s="20"/>
      <c r="JH30" s="20"/>
      <c r="KL30" s="640"/>
      <c r="KM30" s="641"/>
      <c r="KN30" s="279"/>
      <c r="KO30" s="279"/>
      <c r="KP30" s="279"/>
      <c r="KQ30" s="279"/>
      <c r="KR30" s="279"/>
      <c r="KS30" s="279"/>
      <c r="KT30" s="279"/>
      <c r="KU30" s="279"/>
      <c r="KV30" s="279"/>
      <c r="KW30" s="279"/>
      <c r="KX30" s="279"/>
      <c r="KY30" s="279"/>
      <c r="KZ30" s="279"/>
      <c r="LA30" s="279"/>
      <c r="LB30" s="641"/>
      <c r="LC30" s="640"/>
      <c r="LD30" s="641"/>
      <c r="LE30" s="279"/>
      <c r="LF30" s="279"/>
      <c r="LG30" s="279"/>
      <c r="LH30" s="279"/>
      <c r="LI30" s="279"/>
      <c r="LJ30" s="654"/>
      <c r="LK30" s="654"/>
      <c r="LL30" s="655"/>
      <c r="LM30" s="279"/>
      <c r="LN30" s="655"/>
      <c r="LO30" s="655"/>
      <c r="LP30" s="279"/>
      <c r="LU30" s="103"/>
      <c r="MA30" s="107"/>
      <c r="MX30" s="338">
        <f t="shared" si="131"/>
        <v>24</v>
      </c>
      <c r="MY30" s="647" t="s">
        <v>268</v>
      </c>
      <c r="MZ30" s="648">
        <f>MZ28-MZ29</f>
        <v>108135389.13039167</v>
      </c>
      <c r="NA30" s="952">
        <f>MZ30/$MZ$34*100</f>
        <v>4.9326447903054804</v>
      </c>
      <c r="NB30" s="474"/>
      <c r="NC30" s="650">
        <f>NC28-NC29</f>
        <v>108135389.13039167</v>
      </c>
      <c r="ND30" s="649">
        <f>NC30/$MZ$34*100</f>
        <v>4.9326447903054804</v>
      </c>
      <c r="NH30" s="338">
        <f t="shared" si="132"/>
        <v>24</v>
      </c>
      <c r="NI30" s="647" t="s">
        <v>268</v>
      </c>
      <c r="NJ30" s="33">
        <v>132798926.07939428</v>
      </c>
      <c r="NK30" s="648">
        <f>MZ30</f>
        <v>108135389.13039167</v>
      </c>
      <c r="NL30" s="479">
        <f t="shared" si="77"/>
        <v>-24663536.949002609</v>
      </c>
      <c r="NM30" s="352">
        <f t="shared" si="78"/>
        <v>-0.1857209066152947</v>
      </c>
    </row>
    <row r="31" spans="2:377" x14ac:dyDescent="0.3">
      <c r="P31" s="656"/>
      <c r="Q31" s="656"/>
      <c r="R31" s="656"/>
      <c r="AL31" s="464"/>
      <c r="AN31" s="576"/>
      <c r="AO31" s="577"/>
      <c r="AQ31" s="91"/>
      <c r="AT31" s="578"/>
      <c r="AU31" s="91"/>
      <c r="AW31" s="578"/>
      <c r="AX31" s="578"/>
      <c r="AY31" s="91"/>
      <c r="BA31" s="578"/>
      <c r="BB31" s="578"/>
      <c r="BC31" s="91"/>
      <c r="BE31" s="578"/>
      <c r="BF31" s="578"/>
      <c r="BG31" s="91"/>
      <c r="BI31" s="578"/>
      <c r="BJ31" s="578"/>
      <c r="BK31" s="91"/>
      <c r="BM31" s="578"/>
      <c r="BN31" s="578"/>
      <c r="BO31" s="91"/>
      <c r="BQ31" s="578"/>
      <c r="BR31" s="578"/>
      <c r="BS31" s="91"/>
      <c r="BU31" s="578"/>
      <c r="BV31" s="578"/>
      <c r="BW31" s="578"/>
      <c r="BX31" s="578"/>
      <c r="BY31" s="578"/>
      <c r="BZ31" s="578"/>
      <c r="CA31" s="578"/>
      <c r="CB31" s="578"/>
      <c r="CD31" s="578"/>
      <c r="CE31" s="578"/>
      <c r="CF31" s="578"/>
      <c r="CG31" s="578"/>
      <c r="FG31" s="446">
        <f t="shared" si="84"/>
        <v>26</v>
      </c>
      <c r="FH31" s="657"/>
      <c r="FI31" s="658" t="s">
        <v>239</v>
      </c>
      <c r="FJ31" s="479">
        <f>SUM(FJ26:FJ30)</f>
        <v>345522.09460000001</v>
      </c>
      <c r="FK31" s="479">
        <f>SUM(FK26:FK30)</f>
        <v>375848.41</v>
      </c>
      <c r="FL31" s="479">
        <f>SUM(FL26:FL30)</f>
        <v>220432.21</v>
      </c>
      <c r="FM31" s="501">
        <f t="shared" si="126"/>
        <v>941802.71460000006</v>
      </c>
      <c r="FN31" s="479">
        <v>268391.99460000003</v>
      </c>
      <c r="FO31" s="479">
        <v>125854.66</v>
      </c>
      <c r="FP31" s="479">
        <v>200364.21000000002</v>
      </c>
      <c r="FQ31" s="479">
        <v>594610.86460000009</v>
      </c>
      <c r="FR31" s="479">
        <v>594610.86460000009</v>
      </c>
      <c r="FS31" s="103"/>
      <c r="FT31" s="408"/>
      <c r="JE31" s="20"/>
      <c r="JF31" s="20"/>
      <c r="JG31" s="20"/>
      <c r="JH31" s="20"/>
      <c r="JI31" s="344"/>
      <c r="JJ31" s="518"/>
      <c r="KN31" s="279"/>
      <c r="KO31" s="279"/>
      <c r="KP31" s="279"/>
      <c r="KQ31" s="279"/>
      <c r="KR31" s="279"/>
      <c r="KS31" s="279"/>
      <c r="KT31" s="279"/>
      <c r="KU31" s="279"/>
      <c r="KV31" s="279"/>
      <c r="KW31" s="279"/>
      <c r="KX31" s="279"/>
      <c r="KY31" s="279"/>
      <c r="KZ31" s="279"/>
      <c r="LA31" s="279"/>
      <c r="LL31" s="518"/>
      <c r="LN31" s="518"/>
      <c r="LO31" s="518"/>
      <c r="MA31" s="107"/>
      <c r="MX31" s="283">
        <f t="shared" si="131"/>
        <v>25</v>
      </c>
      <c r="MY31" s="32" t="s">
        <v>269</v>
      </c>
      <c r="MZ31" s="32">
        <v>136637688.37609816</v>
      </c>
      <c r="NA31" s="381">
        <f>MZ31/$MZ$34*100</f>
        <v>6.2327900897923474</v>
      </c>
      <c r="NB31" s="97"/>
      <c r="NC31" s="26"/>
      <c r="ND31" s="660"/>
      <c r="NH31" s="483">
        <f>NH30+1</f>
        <v>25</v>
      </c>
      <c r="NI31" s="32" t="str">
        <f>MY31</f>
        <v>Total Revenue at Current Rates</v>
      </c>
      <c r="NJ31" s="32">
        <v>106708111.01526074</v>
      </c>
      <c r="NK31" s="32">
        <f>MZ31</f>
        <v>136637688.37609816</v>
      </c>
      <c r="NL31" s="32">
        <f t="shared" si="77"/>
        <v>29929577.360837415</v>
      </c>
      <c r="NM31" s="575">
        <f t="shared" si="78"/>
        <v>0.28048080952868776</v>
      </c>
    </row>
    <row r="32" spans="2:377" x14ac:dyDescent="0.3">
      <c r="AL32" s="464"/>
      <c r="AN32" s="438"/>
      <c r="AT32" s="661"/>
      <c r="AW32" s="661"/>
      <c r="AX32" s="351"/>
      <c r="BA32" s="661"/>
      <c r="BB32" s="351"/>
      <c r="BE32" s="661"/>
      <c r="BF32" s="351"/>
      <c r="BI32" s="661"/>
      <c r="BJ32" s="351"/>
      <c r="BM32" s="661"/>
      <c r="BN32" s="351"/>
      <c r="BQ32" s="661"/>
      <c r="BR32" s="351"/>
      <c r="BU32" s="661"/>
      <c r="BV32" s="351"/>
      <c r="BW32" s="351"/>
      <c r="BX32" s="351"/>
      <c r="BY32" s="351"/>
      <c r="BZ32" s="351"/>
      <c r="CA32" s="351"/>
      <c r="CB32" s="351"/>
      <c r="CD32" s="661"/>
      <c r="CE32" s="351"/>
      <c r="CF32" s="351"/>
      <c r="CG32" s="351"/>
      <c r="FG32" s="283">
        <f t="shared" si="84"/>
        <v>27</v>
      </c>
      <c r="FH32" s="285" t="s">
        <v>270</v>
      </c>
      <c r="FI32" s="297"/>
      <c r="FJ32" s="662"/>
      <c r="FK32" s="662"/>
      <c r="FL32" s="662"/>
      <c r="FM32" s="663"/>
      <c r="FN32" s="662"/>
      <c r="FO32" s="662"/>
      <c r="FP32" s="662"/>
      <c r="FQ32" s="662"/>
      <c r="FR32" s="662"/>
      <c r="FS32" s="103"/>
      <c r="FT32" s="408"/>
      <c r="JE32" s="20"/>
      <c r="JF32" s="20"/>
      <c r="JG32" s="20"/>
      <c r="JH32" s="20"/>
      <c r="JI32" s="344"/>
      <c r="KM32" s="279"/>
      <c r="KN32" s="279"/>
      <c r="KO32" s="279"/>
      <c r="KP32" s="279"/>
      <c r="KQ32" s="279"/>
      <c r="KR32" s="279"/>
      <c r="KS32" s="279"/>
      <c r="KT32" s="279"/>
      <c r="KU32" s="279"/>
      <c r="KV32" s="279"/>
      <c r="KW32" s="279"/>
      <c r="KX32" s="279"/>
      <c r="KY32" s="279"/>
      <c r="KZ32" s="279"/>
      <c r="LA32" s="279"/>
      <c r="LB32" s="279"/>
      <c r="LC32" s="664"/>
      <c r="LD32" s="279"/>
      <c r="LL32" s="518"/>
      <c r="LN32" s="518"/>
      <c r="LO32" s="518"/>
      <c r="MA32" s="351"/>
      <c r="MX32" s="446">
        <f>MX31+1</f>
        <v>26</v>
      </c>
      <c r="MY32" s="665" t="s">
        <v>271</v>
      </c>
      <c r="MZ32" s="665">
        <f>MZ30/MZ9-1</f>
        <v>-0.17876471951603501</v>
      </c>
      <c r="NA32" s="665"/>
      <c r="NB32" s="453"/>
      <c r="NC32" s="666">
        <f>(NC9)/NC30-1</f>
        <v>0</v>
      </c>
      <c r="ND32" s="665"/>
      <c r="NH32" s="446">
        <f t="shared" si="132"/>
        <v>26</v>
      </c>
      <c r="NI32" s="665" t="str">
        <f>MY32</f>
        <v>Proposed Rate Increase</v>
      </c>
      <c r="NJ32" s="36">
        <v>0.31098299636767157</v>
      </c>
      <c r="NK32" s="665">
        <f>MZ32</f>
        <v>-0.17876471951603501</v>
      </c>
      <c r="NL32" s="665">
        <f t="shared" si="77"/>
        <v>-0.48974771588370658</v>
      </c>
      <c r="NM32" s="667"/>
    </row>
    <row r="33" spans="38:377" x14ac:dyDescent="0.3">
      <c r="AL33" s="464"/>
      <c r="AN33" s="438"/>
      <c r="AT33" s="661"/>
      <c r="AW33" s="661"/>
      <c r="AX33" s="351"/>
      <c r="BA33" s="661"/>
      <c r="BB33" s="351"/>
      <c r="BE33" s="661"/>
      <c r="BF33" s="351"/>
      <c r="BI33" s="661"/>
      <c r="BJ33" s="351"/>
      <c r="BM33" s="661"/>
      <c r="BN33" s="351"/>
      <c r="BQ33" s="661"/>
      <c r="BR33" s="351"/>
      <c r="BU33" s="661"/>
      <c r="BV33" s="351"/>
      <c r="BW33" s="351"/>
      <c r="BX33" s="351"/>
      <c r="BY33" s="351"/>
      <c r="BZ33" s="351"/>
      <c r="CA33" s="351"/>
      <c r="CB33" s="351"/>
      <c r="CD33" s="661"/>
      <c r="CE33" s="351"/>
      <c r="CF33" s="351"/>
      <c r="CG33" s="351"/>
      <c r="EB33" s="668"/>
      <c r="FG33" s="338">
        <f t="shared" si="84"/>
        <v>28</v>
      </c>
      <c r="FH33" s="360"/>
      <c r="FI33" s="361" t="s">
        <v>272</v>
      </c>
      <c r="FJ33" s="20">
        <v>18180.79</v>
      </c>
      <c r="FK33" s="20">
        <v>0</v>
      </c>
      <c r="FL33" s="20">
        <v>511037.56</v>
      </c>
      <c r="FM33" s="343">
        <f>FJ33+FL33+FK33</f>
        <v>529218.35</v>
      </c>
      <c r="FN33" s="20">
        <v>18180.79</v>
      </c>
      <c r="FO33" s="20">
        <v>0</v>
      </c>
      <c r="FP33" s="20">
        <v>511037.56000000006</v>
      </c>
      <c r="FQ33" s="20">
        <v>529218.35000000009</v>
      </c>
      <c r="FR33" s="20">
        <v>529218.35000000009</v>
      </c>
      <c r="FT33" s="408"/>
      <c r="JH33" s="518"/>
      <c r="JJ33" s="518"/>
      <c r="KL33" s="669"/>
      <c r="KM33" s="670"/>
      <c r="KN33" s="279"/>
      <c r="KO33" s="279"/>
      <c r="KP33" s="279"/>
      <c r="KQ33" s="279"/>
      <c r="KR33" s="279"/>
      <c r="KS33" s="279"/>
      <c r="KT33" s="279"/>
      <c r="KU33" s="279"/>
      <c r="KV33" s="279"/>
      <c r="KW33" s="279"/>
      <c r="KX33" s="279"/>
      <c r="KY33" s="279"/>
      <c r="KZ33" s="279"/>
      <c r="LA33" s="279"/>
      <c r="LB33" s="670"/>
      <c r="LC33" s="669"/>
      <c r="LD33" s="670"/>
      <c r="LL33" s="518"/>
      <c r="LN33" s="518"/>
      <c r="LO33" s="518"/>
      <c r="MX33" s="88" t="s">
        <v>241</v>
      </c>
      <c r="MY33" s="88"/>
      <c r="MZ33" s="88"/>
      <c r="NA33" s="88"/>
      <c r="NB33" s="88"/>
      <c r="NC33" s="88"/>
      <c r="ND33" s="88"/>
      <c r="NH33" s="88" t="s">
        <v>241</v>
      </c>
      <c r="NI33" s="461"/>
      <c r="NJ33" s="461"/>
      <c r="NK33" s="461"/>
      <c r="NL33" s="671"/>
      <c r="NM33" s="671"/>
    </row>
    <row r="34" spans="38:377" x14ac:dyDescent="0.3">
      <c r="AL34" s="464"/>
      <c r="AN34" s="438"/>
      <c r="AT34" s="661"/>
      <c r="AW34" s="661"/>
      <c r="AX34" s="351"/>
      <c r="BA34" s="661"/>
      <c r="BB34" s="351"/>
      <c r="BE34" s="661"/>
      <c r="BF34" s="351"/>
      <c r="BI34" s="661"/>
      <c r="BJ34" s="351"/>
      <c r="BM34" s="661"/>
      <c r="BN34" s="351"/>
      <c r="BQ34" s="661"/>
      <c r="BR34" s="351"/>
      <c r="BU34" s="661"/>
      <c r="BV34" s="351"/>
      <c r="BW34" s="351"/>
      <c r="BX34" s="351"/>
      <c r="BY34" s="351"/>
      <c r="BZ34" s="351"/>
      <c r="CA34" s="351"/>
      <c r="CB34" s="351"/>
      <c r="CD34" s="661"/>
      <c r="CE34" s="351"/>
      <c r="CF34" s="351"/>
      <c r="CG34" s="351"/>
      <c r="FG34" s="283">
        <f t="shared" si="84"/>
        <v>29</v>
      </c>
      <c r="FH34" s="406"/>
      <c r="FI34" s="407" t="s">
        <v>273</v>
      </c>
      <c r="FJ34" s="17">
        <v>26603.350000000002</v>
      </c>
      <c r="FK34" s="17">
        <v>172158.89</v>
      </c>
      <c r="FL34" s="17">
        <v>314965.26</v>
      </c>
      <c r="FM34" s="290">
        <f>FJ34+FL34+FK34</f>
        <v>513727.5</v>
      </c>
      <c r="FN34" s="17">
        <v>26603.35</v>
      </c>
      <c r="FO34" s="17">
        <v>172158.88999999998</v>
      </c>
      <c r="FP34" s="17">
        <v>282086.93</v>
      </c>
      <c r="FQ34" s="17">
        <v>480849.16999999993</v>
      </c>
      <c r="FR34" s="17">
        <v>480849.16999999993</v>
      </c>
      <c r="FS34" s="103"/>
      <c r="FT34" s="408"/>
      <c r="JH34" s="518"/>
      <c r="JJ34" s="518"/>
      <c r="KL34" s="143"/>
      <c r="KM34" s="109"/>
      <c r="KN34" s="279"/>
      <c r="KO34" s="279"/>
      <c r="KP34" s="279"/>
      <c r="KQ34" s="279"/>
      <c r="KR34" s="279"/>
      <c r="KS34" s="279"/>
      <c r="KT34" s="279"/>
      <c r="KU34" s="279"/>
      <c r="KV34" s="279"/>
      <c r="KW34" s="279"/>
      <c r="KX34" s="279"/>
      <c r="KY34" s="279"/>
      <c r="KZ34" s="279"/>
      <c r="LA34" s="279"/>
      <c r="LB34" s="109"/>
      <c r="LC34" s="110"/>
      <c r="LD34" s="109"/>
      <c r="LL34" s="518"/>
      <c r="LN34" s="518"/>
      <c r="LO34" s="518"/>
      <c r="MX34" s="283">
        <f>MX32+1</f>
        <v>27</v>
      </c>
      <c r="MY34" s="672" t="s">
        <v>119</v>
      </c>
      <c r="MZ34" s="958">
        <f>KF26</f>
        <v>2192239533.301055</v>
      </c>
      <c r="NA34" s="958"/>
      <c r="NB34" s="37"/>
      <c r="NC34" s="673"/>
      <c r="ND34" s="37">
        <f>MZ34</f>
        <v>2192239533.301055</v>
      </c>
      <c r="NH34" s="283">
        <f>NH32+1</f>
        <v>27</v>
      </c>
      <c r="NI34" s="672" t="str">
        <f>MY34</f>
        <v>Target Year Volume</v>
      </c>
      <c r="NJ34" s="37">
        <v>2182672674</v>
      </c>
      <c r="NK34" s="37">
        <f>MZ34</f>
        <v>2192239533.301055</v>
      </c>
      <c r="NL34" s="903">
        <f t="shared" ref="NL34" si="136">NK34-NJ34</f>
        <v>9566859.3010549545</v>
      </c>
      <c r="NM34" s="674">
        <f t="shared" ref="NM34:NM35" si="137">NL34/NJ34</f>
        <v>4.3830939082233431E-3</v>
      </c>
    </row>
    <row r="35" spans="38:377" ht="17.25" thickBot="1" x14ac:dyDescent="0.35">
      <c r="AL35" s="464"/>
      <c r="AN35" s="438"/>
      <c r="AT35" s="661"/>
      <c r="AW35" s="661"/>
      <c r="AX35" s="351"/>
      <c r="BA35" s="661"/>
      <c r="BB35" s="351"/>
      <c r="BE35" s="661"/>
      <c r="BF35" s="351"/>
      <c r="BI35" s="661"/>
      <c r="BJ35" s="351"/>
      <c r="BM35" s="661"/>
      <c r="BN35" s="351"/>
      <c r="BQ35" s="661"/>
      <c r="BR35" s="351"/>
      <c r="BU35" s="661"/>
      <c r="BV35" s="351"/>
      <c r="BW35" s="351"/>
      <c r="BX35" s="351"/>
      <c r="BY35" s="351"/>
      <c r="BZ35" s="351"/>
      <c r="CA35" s="351"/>
      <c r="CB35" s="351"/>
      <c r="CD35" s="661"/>
      <c r="CE35" s="351"/>
      <c r="CF35" s="351"/>
      <c r="CG35" s="351"/>
      <c r="FG35" s="456">
        <f t="shared" si="84"/>
        <v>30</v>
      </c>
      <c r="FH35" s="675"/>
      <c r="FI35" s="676" t="s">
        <v>239</v>
      </c>
      <c r="FJ35" s="479">
        <f>SUM(FJ33:FJ34)</f>
        <v>44784.14</v>
      </c>
      <c r="FK35" s="479">
        <f>SUM(FK33:FK34)</f>
        <v>172158.89</v>
      </c>
      <c r="FL35" s="479">
        <f>SUM(FL33:FL34)</f>
        <v>826002.82000000007</v>
      </c>
      <c r="FM35" s="501">
        <f>FJ35+FL35+FK35</f>
        <v>1042945.8500000001</v>
      </c>
      <c r="FN35" s="479">
        <v>44784.14</v>
      </c>
      <c r="FO35" s="479">
        <v>172158.88999999998</v>
      </c>
      <c r="FP35" s="479">
        <v>793124.49</v>
      </c>
      <c r="FQ35" s="479">
        <v>1010067.52</v>
      </c>
      <c r="FR35" s="479">
        <v>1010067.52</v>
      </c>
      <c r="FT35" s="408"/>
      <c r="JH35" s="518"/>
      <c r="JJ35" s="518"/>
      <c r="KM35" s="279"/>
      <c r="KN35" s="279"/>
      <c r="KO35" s="279"/>
      <c r="KP35" s="279"/>
      <c r="KQ35" s="279"/>
      <c r="KR35" s="279"/>
      <c r="KS35" s="279"/>
      <c r="KT35" s="279"/>
      <c r="KU35" s="279"/>
      <c r="KV35" s="279"/>
      <c r="KW35" s="279"/>
      <c r="KX35" s="279"/>
      <c r="KY35" s="279"/>
      <c r="KZ35" s="279"/>
      <c r="LA35" s="279"/>
      <c r="LB35" s="279"/>
      <c r="LC35" s="664"/>
      <c r="LD35" s="279"/>
      <c r="LL35" s="518"/>
      <c r="LN35" s="518"/>
      <c r="LO35" s="518"/>
      <c r="MX35" s="421">
        <f>MX34+1</f>
        <v>28</v>
      </c>
      <c r="MY35" s="678" t="s">
        <v>248</v>
      </c>
      <c r="MZ35" s="954">
        <f>KD26</f>
        <v>221</v>
      </c>
      <c r="NA35" s="954"/>
      <c r="NB35" s="38"/>
      <c r="NC35" s="679"/>
      <c r="ND35" s="38">
        <f>MZ35</f>
        <v>221</v>
      </c>
      <c r="NH35" s="421">
        <f>NH34+1</f>
        <v>28</v>
      </c>
      <c r="NI35" s="678" t="str">
        <f>MY35</f>
        <v>Number of Depots</v>
      </c>
      <c r="NJ35" s="38">
        <v>222</v>
      </c>
      <c r="NK35" s="38">
        <f>MZ35</f>
        <v>221</v>
      </c>
      <c r="NL35" s="680">
        <f>NK35-NJ35</f>
        <v>-1</v>
      </c>
      <c r="NM35" s="681">
        <f t="shared" si="137"/>
        <v>-4.5045045045045045E-3</v>
      </c>
    </row>
    <row r="36" spans="38:377" ht="17.25" thickBot="1" x14ac:dyDescent="0.35">
      <c r="AN36" s="576"/>
      <c r="FG36" s="467">
        <f t="shared" si="84"/>
        <v>31</v>
      </c>
      <c r="FH36" s="682"/>
      <c r="FI36" s="471" t="s">
        <v>72</v>
      </c>
      <c r="FJ36" s="469">
        <f>FJ20+FJ24+FJ31+FJ35</f>
        <v>1955314.6527999998</v>
      </c>
      <c r="FK36" s="469">
        <f>FK20+FK24+FK31+FK35</f>
        <v>3087185.5686000003</v>
      </c>
      <c r="FL36" s="469">
        <f>FL20+FL24+FL31+FL35</f>
        <v>5219521.7150999997</v>
      </c>
      <c r="FM36" s="470">
        <f>FJ36+FL36+FK36</f>
        <v>10262021.9365</v>
      </c>
      <c r="FN36" s="469">
        <v>1867647.810069697</v>
      </c>
      <c r="FO36" s="469">
        <v>2660485.1605300005</v>
      </c>
      <c r="FP36" s="469">
        <v>5141127.5751</v>
      </c>
      <c r="FQ36" s="469">
        <v>9669260.545699697</v>
      </c>
      <c r="FR36" s="469">
        <v>9669260.545699697</v>
      </c>
      <c r="FT36" s="408"/>
      <c r="JH36" s="518"/>
      <c r="JJ36" s="518"/>
      <c r="KL36" s="683"/>
      <c r="KM36" s="677"/>
      <c r="KN36" s="279"/>
      <c r="KO36" s="279"/>
      <c r="KP36" s="279"/>
      <c r="KQ36" s="279"/>
      <c r="KR36" s="279"/>
      <c r="KS36" s="279"/>
      <c r="KT36" s="279"/>
      <c r="KU36" s="279"/>
      <c r="KV36" s="279"/>
      <c r="KW36" s="279"/>
      <c r="KX36" s="279"/>
      <c r="KY36" s="279"/>
      <c r="KZ36" s="279"/>
      <c r="LA36" s="279"/>
      <c r="LB36" s="677"/>
      <c r="LC36" s="684"/>
      <c r="LD36" s="677"/>
      <c r="LL36" s="518"/>
      <c r="LN36" s="518"/>
      <c r="LO36" s="518"/>
      <c r="MY36" s="91" t="s">
        <v>452</v>
      </c>
    </row>
    <row r="37" spans="38:377" x14ac:dyDescent="0.3">
      <c r="AL37" s="464"/>
      <c r="AN37" s="438"/>
      <c r="AP37" s="685"/>
      <c r="AQ37" s="91"/>
      <c r="AT37" s="326"/>
      <c r="AV37" s="686"/>
      <c r="AW37" s="326"/>
      <c r="AX37" s="351"/>
      <c r="AZ37" s="686"/>
      <c r="BA37" s="326"/>
      <c r="BB37" s="351"/>
      <c r="BD37" s="686"/>
      <c r="BE37" s="326"/>
      <c r="BF37" s="351"/>
      <c r="BH37" s="686"/>
      <c r="BI37" s="326"/>
      <c r="BJ37" s="351"/>
      <c r="BL37" s="686"/>
      <c r="BM37" s="326"/>
      <c r="BN37" s="351"/>
      <c r="BP37" s="686"/>
      <c r="BQ37" s="326"/>
      <c r="BR37" s="351"/>
      <c r="BT37" s="686"/>
      <c r="BU37" s="326"/>
      <c r="BV37" s="351"/>
      <c r="BW37" s="351"/>
      <c r="BX37" s="351"/>
      <c r="BY37" s="351"/>
      <c r="BZ37" s="351"/>
      <c r="CA37" s="351"/>
      <c r="CB37" s="351"/>
      <c r="CC37" s="686"/>
      <c r="CD37" s="326"/>
      <c r="CE37" s="351"/>
      <c r="CF37" s="351"/>
      <c r="CG37" s="351"/>
      <c r="JH37" s="518"/>
      <c r="JJ37" s="518"/>
      <c r="KL37" s="683"/>
      <c r="KM37" s="677"/>
      <c r="KN37" s="279"/>
      <c r="KO37" s="279"/>
      <c r="KP37" s="279"/>
      <c r="KQ37" s="279"/>
      <c r="KR37" s="279"/>
      <c r="KS37" s="279"/>
      <c r="KT37" s="279"/>
      <c r="KU37" s="279"/>
      <c r="KV37" s="279"/>
      <c r="KW37" s="279"/>
      <c r="KX37" s="279"/>
      <c r="KY37" s="279"/>
      <c r="KZ37" s="279"/>
      <c r="LA37" s="279"/>
      <c r="LB37" s="677"/>
      <c r="LC37" s="684"/>
      <c r="LD37" s="677"/>
      <c r="LL37" s="518"/>
      <c r="LN37" s="518"/>
      <c r="LO37" s="518"/>
      <c r="MY37" s="572" t="s">
        <v>254</v>
      </c>
      <c r="MZ37" s="31">
        <v>113162003.07033257</v>
      </c>
      <c r="NA37" s="573">
        <v>5.1371628933547182</v>
      </c>
      <c r="NB37" s="96"/>
      <c r="NC37" s="96"/>
      <c r="ND37" s="96"/>
    </row>
    <row r="38" spans="38:377" x14ac:dyDescent="0.3">
      <c r="AL38" s="464"/>
      <c r="AN38" s="438"/>
      <c r="AQ38" s="91"/>
      <c r="BU38" s="347"/>
      <c r="CD38" s="347"/>
      <c r="FT38" s="408"/>
      <c r="JH38" s="518"/>
      <c r="JJ38" s="518"/>
      <c r="KL38" s="683"/>
      <c r="KM38" s="677"/>
      <c r="KN38" s="677"/>
      <c r="KO38" s="677"/>
      <c r="KP38" s="677"/>
      <c r="KQ38" s="677"/>
      <c r="KR38" s="677"/>
      <c r="KT38" s="641"/>
      <c r="KU38" s="641"/>
      <c r="KV38" s="641"/>
      <c r="KW38" s="641"/>
      <c r="KX38" s="641"/>
      <c r="KY38" s="641"/>
      <c r="KZ38" s="677"/>
      <c r="LA38" s="677"/>
      <c r="LB38" s="677"/>
      <c r="LC38" s="684"/>
      <c r="LD38" s="677"/>
      <c r="LL38" s="518"/>
      <c r="LN38" s="518"/>
      <c r="LO38" s="518"/>
      <c r="MY38" s="20" t="s">
        <v>257</v>
      </c>
      <c r="MZ38" s="20">
        <v>0</v>
      </c>
      <c r="NA38" s="414">
        <v>0</v>
      </c>
      <c r="NB38" s="96"/>
      <c r="NC38" s="96"/>
      <c r="ND38" s="96"/>
    </row>
    <row r="39" spans="38:377" x14ac:dyDescent="0.3">
      <c r="JH39" s="518"/>
      <c r="JJ39" s="518"/>
      <c r="KL39" s="683"/>
      <c r="KM39" s="677"/>
      <c r="KN39" s="677"/>
      <c r="KO39" s="677"/>
      <c r="KP39" s="677"/>
      <c r="KQ39" s="677"/>
      <c r="KR39" s="677"/>
      <c r="KT39" s="641"/>
      <c r="KU39" s="641"/>
      <c r="KV39" s="641"/>
      <c r="KW39" s="641"/>
      <c r="KX39" s="641"/>
      <c r="KY39" s="641"/>
      <c r="KZ39" s="677"/>
      <c r="LA39" s="677"/>
      <c r="LB39" s="677"/>
      <c r="LC39" s="684"/>
      <c r="LD39" s="677"/>
      <c r="LL39" s="518"/>
      <c r="LN39" s="518"/>
      <c r="LO39" s="518"/>
      <c r="MH39" s="687"/>
      <c r="MI39" s="687"/>
      <c r="MJ39" s="687"/>
      <c r="MK39" s="687"/>
      <c r="MY39" s="32" t="s">
        <v>262</v>
      </c>
      <c r="MZ39" s="32">
        <v>0</v>
      </c>
      <c r="NA39" s="638">
        <v>0</v>
      </c>
      <c r="NB39" s="96"/>
      <c r="NC39" s="96"/>
      <c r="ND39" s="96"/>
    </row>
    <row r="40" spans="38:377" x14ac:dyDescent="0.3">
      <c r="AL40" s="464"/>
      <c r="JH40" s="518"/>
      <c r="JJ40" s="518"/>
      <c r="KT40" s="641"/>
      <c r="KU40" s="641"/>
      <c r="KV40" s="641"/>
      <c r="KW40" s="641"/>
      <c r="KX40" s="641"/>
      <c r="KY40" s="641"/>
      <c r="LL40" s="518"/>
      <c r="LN40" s="518"/>
      <c r="LO40" s="518"/>
      <c r="MH40" s="687"/>
      <c r="MI40" s="687"/>
      <c r="MJ40" s="687"/>
      <c r="MK40" s="687"/>
      <c r="MY40" s="647" t="s">
        <v>264</v>
      </c>
      <c r="MZ40" s="648">
        <v>113162003.07033257</v>
      </c>
      <c r="NA40" s="649">
        <v>5.1371628933547182</v>
      </c>
      <c r="NB40" s="96"/>
      <c r="NC40" s="96"/>
      <c r="ND40" s="96"/>
    </row>
    <row r="41" spans="38:377" x14ac:dyDescent="0.3">
      <c r="AL41" s="688"/>
      <c r="JH41" s="518"/>
      <c r="JJ41" s="518"/>
      <c r="KT41" s="641"/>
      <c r="KU41" s="641"/>
      <c r="KV41" s="641"/>
      <c r="KW41" s="641"/>
      <c r="KX41" s="641"/>
      <c r="KY41" s="641"/>
      <c r="LL41" s="518"/>
      <c r="LN41" s="518"/>
      <c r="LO41" s="518"/>
      <c r="MH41" s="687"/>
      <c r="MI41" s="689"/>
      <c r="MJ41" s="690"/>
      <c r="MK41" s="691"/>
      <c r="MY41" s="444" t="s">
        <v>266</v>
      </c>
      <c r="MZ41" s="652">
        <v>4758928.0499999989</v>
      </c>
      <c r="NA41" s="509">
        <v>0.2160388463202649</v>
      </c>
      <c r="NB41" s="96"/>
      <c r="NC41" s="96"/>
      <c r="ND41" s="96"/>
    </row>
    <row r="42" spans="38:377" x14ac:dyDescent="0.3">
      <c r="AL42" s="464"/>
      <c r="JH42" s="518"/>
      <c r="JJ42" s="518"/>
      <c r="KT42" s="641"/>
      <c r="KU42" s="641"/>
      <c r="KV42" s="641"/>
      <c r="KW42" s="641"/>
      <c r="KX42" s="641"/>
      <c r="KY42" s="641"/>
      <c r="LL42" s="518"/>
      <c r="LN42" s="518"/>
      <c r="LO42" s="518"/>
      <c r="MH42" s="687"/>
      <c r="MI42" s="690"/>
      <c r="MJ42" s="690"/>
      <c r="MK42" s="691"/>
      <c r="MY42" s="647" t="s">
        <v>268</v>
      </c>
      <c r="MZ42" s="648">
        <v>108403075.02033257</v>
      </c>
      <c r="NA42" s="649">
        <v>4.9211240470344544</v>
      </c>
      <c r="NB42" s="96"/>
      <c r="NC42" s="96"/>
      <c r="ND42" s="96"/>
    </row>
    <row r="43" spans="38:377" x14ac:dyDescent="0.3">
      <c r="JH43" s="518"/>
      <c r="JJ43" s="518"/>
      <c r="KT43" s="641"/>
      <c r="KU43" s="641"/>
      <c r="KV43" s="641"/>
      <c r="KW43" s="641"/>
      <c r="KX43" s="641"/>
      <c r="KY43" s="641"/>
      <c r="LL43" s="518"/>
      <c r="LN43" s="518"/>
      <c r="LO43" s="518"/>
      <c r="MH43" s="687"/>
      <c r="MI43" s="689"/>
      <c r="MJ43" s="689"/>
      <c r="MK43" s="691"/>
      <c r="MY43" s="32" t="s">
        <v>269</v>
      </c>
      <c r="MZ43" s="32">
        <v>136637688.37609816</v>
      </c>
      <c r="NA43" s="638">
        <v>6.2028776754967172</v>
      </c>
      <c r="NB43" s="96"/>
      <c r="NC43" s="96"/>
      <c r="ND43" s="96"/>
    </row>
    <row r="44" spans="38:377" x14ac:dyDescent="0.3">
      <c r="JH44" s="518"/>
      <c r="JJ44" s="518"/>
      <c r="KT44" s="641"/>
      <c r="KU44" s="641"/>
      <c r="KV44" s="641"/>
      <c r="KW44" s="641"/>
      <c r="KX44" s="641"/>
      <c r="KY44" s="641"/>
      <c r="LL44" s="518"/>
      <c r="LN44" s="518"/>
      <c r="LO44" s="518"/>
      <c r="MH44" s="687"/>
      <c r="MI44" s="687"/>
      <c r="MJ44" s="687"/>
      <c r="MK44" s="691"/>
      <c r="MY44" s="665" t="s">
        <v>271</v>
      </c>
      <c r="MZ44" s="665">
        <v>-0.17673177638173754</v>
      </c>
      <c r="NA44" s="665"/>
      <c r="NB44" s="96"/>
      <c r="NC44" s="96"/>
      <c r="ND44" s="96"/>
      <c r="NI44" s="113"/>
    </row>
    <row r="45" spans="38:377" x14ac:dyDescent="0.3">
      <c r="KT45" s="641"/>
      <c r="KU45" s="641"/>
      <c r="KV45" s="641"/>
      <c r="KW45" s="641"/>
      <c r="KX45" s="641"/>
      <c r="KY45" s="641"/>
      <c r="LL45" s="518"/>
      <c r="LN45" s="518"/>
      <c r="LO45" s="518"/>
      <c r="MH45" s="687"/>
      <c r="MI45" s="687"/>
      <c r="MJ45" s="687"/>
      <c r="MK45" s="687"/>
      <c r="MY45" s="88"/>
      <c r="MZ45" s="88"/>
      <c r="NA45" s="88"/>
      <c r="NB45" s="96"/>
      <c r="NC45" s="96"/>
      <c r="ND45" s="96"/>
    </row>
    <row r="46" spans="38:377" x14ac:dyDescent="0.3">
      <c r="KT46" s="641"/>
      <c r="KU46" s="641"/>
      <c r="KV46" s="641"/>
      <c r="KW46" s="641"/>
      <c r="KX46" s="641"/>
      <c r="KY46" s="641"/>
      <c r="LL46" s="518"/>
      <c r="LN46" s="518"/>
      <c r="LO46" s="518"/>
      <c r="MY46" s="672" t="s">
        <v>119</v>
      </c>
      <c r="MZ46" s="958">
        <v>2202811268</v>
      </c>
      <c r="NA46" s="958"/>
      <c r="NB46" s="96"/>
      <c r="NC46" s="96"/>
      <c r="ND46" s="96"/>
      <c r="NI46" s="113"/>
    </row>
    <row r="47" spans="38:377" x14ac:dyDescent="0.3">
      <c r="KT47" s="641"/>
      <c r="KU47" s="641"/>
      <c r="KV47" s="641"/>
      <c r="KW47" s="641"/>
      <c r="KX47" s="641"/>
      <c r="KY47" s="641"/>
      <c r="LL47" s="518"/>
      <c r="LN47" s="518"/>
      <c r="LO47" s="518"/>
      <c r="MZ47" s="96"/>
      <c r="NA47" s="96"/>
      <c r="NB47" s="96"/>
      <c r="NC47" s="96"/>
      <c r="ND47" s="96"/>
    </row>
    <row r="48" spans="38:377" x14ac:dyDescent="0.3">
      <c r="KT48" s="641"/>
      <c r="KU48" s="641"/>
      <c r="KV48" s="641"/>
      <c r="KW48" s="641"/>
      <c r="KX48" s="641"/>
      <c r="KY48" s="641"/>
      <c r="LL48" s="518"/>
      <c r="LN48" s="518"/>
      <c r="LO48" s="518"/>
      <c r="MY48" s="91" t="s">
        <v>449</v>
      </c>
      <c r="MZ48" s="950">
        <f>MZ28-MZ37</f>
        <v>-267685.88994090259</v>
      </c>
      <c r="NA48" s="694"/>
      <c r="NH48" s="98"/>
      <c r="NI48" s="695"/>
    </row>
    <row r="49" spans="306:380" x14ac:dyDescent="0.3">
      <c r="KT49" s="641"/>
      <c r="KU49" s="641"/>
      <c r="KV49" s="641"/>
      <c r="KW49" s="641"/>
      <c r="KX49" s="641"/>
      <c r="KY49" s="641"/>
      <c r="LL49" s="518"/>
      <c r="LN49" s="518"/>
      <c r="LO49" s="518"/>
      <c r="MZ49" s="20"/>
      <c r="NA49" s="692"/>
      <c r="NI49" s="695"/>
    </row>
    <row r="50" spans="306:380" x14ac:dyDescent="0.3">
      <c r="KT50" s="641"/>
      <c r="KU50" s="641"/>
      <c r="LL50" s="518"/>
      <c r="LN50" s="518"/>
      <c r="LO50" s="518"/>
      <c r="MP50" s="337"/>
      <c r="MQ50" s="98"/>
      <c r="MU50" s="98"/>
      <c r="MV50" s="337"/>
      <c r="MW50" s="98"/>
      <c r="MZ50" s="693"/>
      <c r="NA50" s="694"/>
      <c r="NH50" s="98"/>
      <c r="NI50" s="695"/>
      <c r="NO50" s="337"/>
      <c r="NP50" s="98"/>
    </row>
    <row r="51" spans="306:380" x14ac:dyDescent="0.3">
      <c r="LL51" s="518"/>
      <c r="LN51" s="518"/>
      <c r="LO51" s="518"/>
      <c r="MR51" s="98"/>
      <c r="MS51" s="98"/>
      <c r="MT51" s="98"/>
      <c r="MZ51" s="20"/>
      <c r="NA51" s="692"/>
      <c r="NG51" s="98"/>
    </row>
    <row r="52" spans="306:380" x14ac:dyDescent="0.3">
      <c r="MP52" s="337"/>
      <c r="MQ52" s="98"/>
      <c r="MU52" s="98"/>
      <c r="MV52" s="337"/>
      <c r="MW52" s="98"/>
      <c r="MZ52" s="693"/>
      <c r="NA52" s="694"/>
      <c r="NF52" s="337"/>
      <c r="NO52" s="337"/>
      <c r="NP52" s="98"/>
    </row>
    <row r="53" spans="306:380" x14ac:dyDescent="0.3">
      <c r="MR53" s="98"/>
      <c r="MS53" s="98"/>
      <c r="MT53" s="98"/>
      <c r="MZ53" s="20"/>
      <c r="NA53" s="692"/>
      <c r="NG53" s="98"/>
    </row>
    <row r="54" spans="306:380" x14ac:dyDescent="0.3">
      <c r="MZ54" s="20"/>
      <c r="NA54" s="692"/>
      <c r="NF54" s="337"/>
    </row>
  </sheetData>
  <mergeCells count="113">
    <mergeCell ref="GX3:HA3"/>
    <mergeCell ref="DJ3:DK3"/>
    <mergeCell ref="DL3:DM3"/>
    <mergeCell ref="DS3:DV3"/>
    <mergeCell ref="DW3:DZ3"/>
    <mergeCell ref="EF3:EI3"/>
    <mergeCell ref="EJ3:EM3"/>
    <mergeCell ref="FA3:FC3"/>
    <mergeCell ref="FJ3:FM3"/>
    <mergeCell ref="FN3:FR3"/>
    <mergeCell ref="FX3:GA3"/>
    <mergeCell ref="MZ46:NA46"/>
    <mergeCell ref="W1:AA1"/>
    <mergeCell ref="AF1:AJ1"/>
    <mergeCell ref="CJ1:CU1"/>
    <mergeCell ref="CW1:DE1"/>
    <mergeCell ref="AN1:CG1"/>
    <mergeCell ref="HH1:HS1"/>
    <mergeCell ref="HV1:IG2"/>
    <mergeCell ref="IK1:IW2"/>
    <mergeCell ref="FG1:FR1"/>
    <mergeCell ref="BH3:BJ3"/>
    <mergeCell ref="BL3:BN3"/>
    <mergeCell ref="BP3:BR3"/>
    <mergeCell ref="BT3:BV3"/>
    <mergeCell ref="BW3:BY3"/>
    <mergeCell ref="BZ3:CB3"/>
    <mergeCell ref="CC3:CE3"/>
    <mergeCell ref="DG1:DN1"/>
    <mergeCell ref="DP1:EA1"/>
    <mergeCell ref="ED1:EM1"/>
    <mergeCell ref="EQ1:FC1"/>
    <mergeCell ref="FU1:GF1"/>
    <mergeCell ref="ES3:EV3"/>
    <mergeCell ref="EW3:EZ3"/>
    <mergeCell ref="F3:G3"/>
    <mergeCell ref="H3:J3"/>
    <mergeCell ref="K3:M3"/>
    <mergeCell ref="N3:P3"/>
    <mergeCell ref="Q3:R3"/>
    <mergeCell ref="AS3:AT3"/>
    <mergeCell ref="AV3:AX3"/>
    <mergeCell ref="AZ3:BB3"/>
    <mergeCell ref="BD3:BF3"/>
    <mergeCell ref="B1:R1"/>
    <mergeCell ref="GB3:GE3"/>
    <mergeCell ref="CF3:CG3"/>
    <mergeCell ref="CM3:CP3"/>
    <mergeCell ref="NC4:ND4"/>
    <mergeCell ref="NH1:NM2"/>
    <mergeCell ref="KA1:KJ2"/>
    <mergeCell ref="KN1:LA2"/>
    <mergeCell ref="LE1:LZ2"/>
    <mergeCell ref="MD1:MN2"/>
    <mergeCell ref="MR1:MT2"/>
    <mergeCell ref="MX1:ND2"/>
    <mergeCell ref="GH1:GS1"/>
    <mergeCell ref="GU1:HF1"/>
    <mergeCell ref="MI3:MK3"/>
    <mergeCell ref="ML3:MN3"/>
    <mergeCell ref="MZ4:NA4"/>
    <mergeCell ref="JK3:JL3"/>
    <mergeCell ref="JM3:JN3"/>
    <mergeCell ref="JO3:JP3"/>
    <mergeCell ref="HO3:HR3"/>
    <mergeCell ref="IN3:IO3"/>
    <mergeCell ref="IP3:IQ3"/>
    <mergeCell ref="IR3:IS3"/>
    <mergeCell ref="JA1:JW1"/>
    <mergeCell ref="HK3:HN3"/>
    <mergeCell ref="GK3:GN3"/>
    <mergeCell ref="GO3:GR3"/>
    <mergeCell ref="DH12:DI13"/>
    <mergeCell ref="AN21:CG21"/>
    <mergeCell ref="LQ3:LR3"/>
    <mergeCell ref="LS3:LT3"/>
    <mergeCell ref="LU3:LV3"/>
    <mergeCell ref="JQ3:JR3"/>
    <mergeCell ref="JS3:JT3"/>
    <mergeCell ref="JU3:JW3"/>
    <mergeCell ref="KR3:KS3"/>
    <mergeCell ref="KT3:KU3"/>
    <mergeCell ref="KV3:KW3"/>
    <mergeCell ref="JE3:JF3"/>
    <mergeCell ref="JG3:JH3"/>
    <mergeCell ref="JI3:JJ3"/>
    <mergeCell ref="HB3:HE3"/>
    <mergeCell ref="CQ3:CT3"/>
    <mergeCell ref="CZ3:DA3"/>
    <mergeCell ref="DB3:DD3"/>
    <mergeCell ref="IT3:IU3"/>
    <mergeCell ref="IV3:IW3"/>
    <mergeCell ref="LW3:LX3"/>
    <mergeCell ref="LY3:LZ3"/>
    <mergeCell ref="MF3:MH3"/>
    <mergeCell ref="KX3:KY3"/>
    <mergeCell ref="KZ3:LA3"/>
    <mergeCell ref="LI3:LJ3"/>
    <mergeCell ref="LK3:LL3"/>
    <mergeCell ref="LM3:LN3"/>
    <mergeCell ref="LO3:LP3"/>
    <mergeCell ref="MZ35:NA35"/>
    <mergeCell ref="F25:G25"/>
    <mergeCell ref="H25:J25"/>
    <mergeCell ref="K25:M25"/>
    <mergeCell ref="N25:P25"/>
    <mergeCell ref="MZ34:NA34"/>
    <mergeCell ref="BT22:BV22"/>
    <mergeCell ref="BT23:BV23"/>
    <mergeCell ref="F24:G24"/>
    <mergeCell ref="H24:J24"/>
    <mergeCell ref="K24:M24"/>
    <mergeCell ref="N24:P24"/>
  </mergeCells>
  <conditionalFormatting sqref="AM3:CH4">
    <cfRule type="cellIs" dxfId="129" priority="8" operator="lessThan">
      <formula>0</formula>
    </cfRule>
  </conditionalFormatting>
  <conditionalFormatting sqref="AN7:AP20">
    <cfRule type="cellIs" dxfId="128" priority="42" operator="lessThan">
      <formula>0</formula>
    </cfRule>
  </conditionalFormatting>
  <conditionalFormatting sqref="AN22:BT23">
    <cfRule type="cellIs" dxfId="127" priority="6" operator="lessThan">
      <formula>0</formula>
    </cfRule>
  </conditionalFormatting>
  <conditionalFormatting sqref="BW7:CG20">
    <cfRule type="cellIs" dxfId="126" priority="12" operator="lessThan">
      <formula>0</formula>
    </cfRule>
  </conditionalFormatting>
  <conditionalFormatting sqref="BZ22:CA23">
    <cfRule type="cellIs" dxfId="125" priority="3" operator="lessThan">
      <formula>0</formula>
    </cfRule>
  </conditionalFormatting>
  <conditionalFormatting sqref="CC22:CG23">
    <cfRule type="cellIs" dxfId="124" priority="14" operator="lessThan">
      <formula>0</formula>
    </cfRule>
  </conditionalFormatting>
  <conditionalFormatting sqref="CH1:CI1 JZ1:KA1 KN1 LB1:LE1 MA1:MB1 MD1 AM1:AM2 KK1:KM2 AO2:AR2 BW2:CH2 JZ2 MA2 LB2:LD27 CI2:CI1048576 MB2:MB1048576 JZ3:KP3 KR3 KT3 KV3 LI3:LO3 LQ3 LU3:MA3 LG3:LH4 JZ4 KB4:KL4 LI4:MA4 KN4:KQ27 KM4:KM28 AN5:AR5 BW5:CG5 CH5:CH24 LE5:LF27 AM5:AM1048576 AN6:CG6 KJ6:KL26 JZ6:KI1048576 AQ7:BT10 BU7:BV11 LU7:MA28 AQ11:BO11 BQ11:BT11 AQ12:BV20 AH19:AJ19 AN26:CH1048576 KS27 KU27 KW27:KY27 KL27:KL32 KJ27:KK1048576 MC28:MN1048576 KM29:KR29 KT29:LD29 LF29:LZ29 MA29:MA1048576 LF30:LH30 LJ30:LZ30 KM30:KM32 LB30:LD32 KN30:LA37 LE31:LZ1048576 KL34:KR50 KT34:LD50 KL51:LD1048576">
    <cfRule type="cellIs" dxfId="123" priority="50" operator="lessThan">
      <formula>0</formula>
    </cfRule>
  </conditionalFormatting>
  <conditionalFormatting sqref="IC4 IC6:IC25">
    <cfRule type="cellIs" dxfId="122" priority="49" operator="lessThan">
      <formula>0</formula>
    </cfRule>
  </conditionalFormatting>
  <conditionalFormatting sqref="JC4">
    <cfRule type="cellIs" dxfId="121" priority="47" operator="lessThan">
      <formula>0</formula>
    </cfRule>
  </conditionalFormatting>
  <conditionalFormatting sqref="JZ5:KL5">
    <cfRule type="cellIs" dxfId="120" priority="25" operator="lessThan">
      <formula>0</formula>
    </cfRule>
  </conditionalFormatting>
  <conditionalFormatting sqref="KR4:LA26">
    <cfRule type="cellIs" dxfId="119" priority="2" operator="lessThan">
      <formula>0</formula>
    </cfRule>
  </conditionalFormatting>
  <conditionalFormatting sqref="KZ3">
    <cfRule type="cellIs" dxfId="118" priority="43" operator="lessThan">
      <formula>0</formula>
    </cfRule>
  </conditionalFormatting>
  <conditionalFormatting sqref="KZ28:LT28">
    <cfRule type="cellIs" dxfId="117" priority="24" operator="lessThan">
      <formula>0</formula>
    </cfRule>
  </conditionalFormatting>
  <conditionalFormatting sqref="LA27">
    <cfRule type="cellIs" dxfId="116" priority="29" operator="lessThan">
      <formula>0</formula>
    </cfRule>
  </conditionalFormatting>
  <conditionalFormatting sqref="LE3:LF3 LF4">
    <cfRule type="cellIs" dxfId="115" priority="45" operator="lessThan">
      <formula>0</formula>
    </cfRule>
  </conditionalFormatting>
  <conditionalFormatting sqref="LG7:LT27">
    <cfRule type="cellIs" dxfId="114" priority="19" operator="lessThan">
      <formula>0</formula>
    </cfRule>
  </conditionalFormatting>
  <conditionalFormatting sqref="LG5:MA6">
    <cfRule type="cellIs" dxfId="113" priority="48" operator="lessThan">
      <formula>0</formula>
    </cfRule>
  </conditionalFormatting>
  <conditionalFormatting sqref="MC2">
    <cfRule type="cellIs" dxfId="112" priority="7" operator="lessThan">
      <formula>0</formula>
    </cfRule>
  </conditionalFormatting>
  <conditionalFormatting sqref="MF3:MF4">
    <cfRule type="cellIs" dxfId="111" priority="40" operator="lessThan">
      <formula>0</formula>
    </cfRule>
  </conditionalFormatting>
  <conditionalFormatting sqref="MG4:MH4">
    <cfRule type="cellIs" dxfId="110" priority="36" operator="lessThan">
      <formula>0</formula>
    </cfRule>
  </conditionalFormatting>
  <conditionalFormatting sqref="MI3:MI4">
    <cfRule type="cellIs" dxfId="109" priority="35" operator="lessThan">
      <formula>0</formula>
    </cfRule>
  </conditionalFormatting>
  <conditionalFormatting sqref="MJ4:MK4">
    <cfRule type="cellIs" dxfId="108" priority="33" operator="lessThan">
      <formula>0</formula>
    </cfRule>
  </conditionalFormatting>
  <conditionalFormatting sqref="ML3:ML4">
    <cfRule type="cellIs" dxfId="107" priority="32" operator="lessThan">
      <formula>0</formula>
    </cfRule>
  </conditionalFormatting>
  <conditionalFormatting sqref="MM4:MN4">
    <cfRule type="cellIs" dxfId="106" priority="30" operator="lessThan">
      <formula>0</formula>
    </cfRule>
  </conditionalFormatting>
  <conditionalFormatting sqref="MR1">
    <cfRule type="cellIs" dxfId="105" priority="11" operator="lessThan">
      <formula>0</formula>
    </cfRule>
  </conditionalFormatting>
  <conditionalFormatting sqref="MR4:MT4">
    <cfRule type="cellIs" dxfId="104" priority="9" operator="lessThan">
      <formula>0</formula>
    </cfRule>
  </conditionalFormatting>
  <pageMargins left="0.7" right="0.7" top="0.75" bottom="0.75" header="0.3" footer="0.3"/>
  <pageSetup orientation="portrait" r:id="rId1"/>
  <ignoredErrors>
    <ignoredError sqref="G9:G22 H7 H8:H20 KD6:KD25 KS6:KW27 LJ28:LM28 LR28:LY28 NC9 NA29 NK11" formula="1"/>
    <ignoredError sqref="DS12:DZ12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DC49B8F3647B26A81FC0A61BD72" ma:contentTypeVersion="19" ma:contentTypeDescription="Create a new document." ma:contentTypeScope="" ma:versionID="8c6c31721c90d68a302cb3d06875e2d7">
  <xsd:schema xmlns:xsd="http://www.w3.org/2001/XMLSchema" xmlns:xs="http://www.w3.org/2001/XMLSchema" xmlns:p="http://schemas.microsoft.com/office/2006/metadata/properties" xmlns:ns2="b0eccaff-ed0e-4369-a755-3c501f3fbb44" xmlns:ns3="033f3c31-a06a-42e1-839c-42d3c12e0580" targetNamespace="http://schemas.microsoft.com/office/2006/metadata/properties" ma:root="true" ma:fieldsID="a1d8021bc43f347c6a57d6507811accf" ns2:_="" ns3:_="">
    <xsd:import namespace="b0eccaff-ed0e-4369-a755-3c501f3fbb44"/>
    <xsd:import namespace="033f3c31-a06a-42e1-839c-42d3c12e0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ccaff-ed0e-4369-a755-3c501f3fb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ffb9e5-4468-485e-ab5f-4ae9542a0c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c31-a06a-42e1-839c-42d3c12e0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afcd4f-ddb2-4033-b6d6-da91113543b1}" ma:internalName="TaxCatchAll" ma:showField="CatchAllData" ma:web="033f3c31-a06a-42e1-839c-42d3c12e0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f3c31-a06a-42e1-839c-42d3c12e0580" xsi:nil="true"/>
    <lcf76f155ced4ddcb4097134ff3c332f xmlns="b0eccaff-ed0e-4369-a755-3c501f3fbb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A2EFE6-B978-442E-9797-8A6A62744574}"/>
</file>

<file path=customXml/itemProps2.xml><?xml version="1.0" encoding="utf-8"?>
<ds:datastoreItem xmlns:ds="http://schemas.openxmlformats.org/officeDocument/2006/customXml" ds:itemID="{8FF71B99-BB84-468E-A6D7-2541C61B9EF6}"/>
</file>

<file path=customXml/itemProps3.xml><?xml version="1.0" encoding="utf-8"?>
<ds:datastoreItem xmlns:ds="http://schemas.openxmlformats.org/officeDocument/2006/customXml" ds:itemID="{B7548B57-911F-4FFC-8A5A-3236C6B52E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Actuals Phase I</vt:lpstr>
      <vt:lpstr>Actuals Phase II</vt:lpstr>
      <vt:lpstr>DCA 8 month Phase I</vt:lpstr>
      <vt:lpstr>DCA 8 month Phase II</vt:lpstr>
      <vt:lpstr>DCA 3 month Phase I</vt:lpstr>
      <vt:lpstr>DCA 3 month Phase II</vt:lpstr>
      <vt:lpstr>ABDA 8 month Phase I</vt:lpstr>
      <vt:lpstr>ABDA 8 month Phase II</vt:lpstr>
      <vt:lpstr>ABDA 3 month Phase I</vt:lpstr>
      <vt:lpstr>ABDA 3 month Phase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Mataya Guy</dc:creator>
  <cp:lastModifiedBy>Mary McPhail</cp:lastModifiedBy>
  <dcterms:created xsi:type="dcterms:W3CDTF">2023-11-08T22:24:53Z</dcterms:created>
  <dcterms:modified xsi:type="dcterms:W3CDTF">2026-02-25T20:19:33Z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0x01010081CBFDC49B8F3647B26A81FC0A61BD72</vt:lpwstr>
  </property>
</Properties>
</file>